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IMPLAN\Modificación Ppto 2023\"/>
    </mc:Choice>
  </mc:AlternateContent>
  <xr:revisionPtr revIDLastSave="0" documentId="8_{B2EBD88F-984B-473B-AC06-845F0CB53C3A}" xr6:coauthVersionLast="47" xr6:coauthVersionMax="47" xr10:uidLastSave="{00000000-0000-0000-0000-000000000000}"/>
  <bookViews>
    <workbookView xWindow="-108" yWindow="-108" windowWidth="23256" windowHeight="12576" tabRatio="512" activeTab="8" xr2:uid="{00000000-000D-0000-FFFF-FFFF00000000}"/>
  </bookViews>
  <sheets>
    <sheet name="RESUMEN" sheetId="22" r:id="rId1"/>
    <sheet name="ING" sheetId="24" r:id="rId2"/>
    <sheet name="EGR" sheetId="2" r:id="rId3"/>
    <sheet name="1000" sheetId="5" r:id="rId4"/>
    <sheet name="2000" sheetId="6" r:id="rId5"/>
    <sheet name="3000" sheetId="7" r:id="rId6"/>
    <sheet name="5000" sheetId="1" r:id="rId7"/>
    <sheet name="6000" sheetId="23" r:id="rId8"/>
    <sheet name="PROG" sheetId="4" r:id="rId9"/>
  </sheets>
  <definedNames>
    <definedName name="_xlnm.Print_Area" localSheetId="3">'1000'!$A$1:$Q$20</definedName>
    <definedName name="_xlnm.Print_Area" localSheetId="4">'2000'!$A$1:$G$103</definedName>
    <definedName name="_xlnm.Print_Area" localSheetId="5">'3000'!$A$1:$G$159</definedName>
    <definedName name="_xlnm.Print_Area" localSheetId="6">'5000'!$A$1:$G$60</definedName>
    <definedName name="_xlnm.Print_Area" localSheetId="7">'6000'!$A$1:$E$39</definedName>
    <definedName name="_xlnm.Print_Area" localSheetId="2">EGR!$A$1:$C$68</definedName>
    <definedName name="_xlnm.Print_Area" localSheetId="1">ING!$A$9:$E$42</definedName>
    <definedName name="_xlnm.Print_Area" localSheetId="8">PROG!$A$1:$P$75</definedName>
    <definedName name="_xlnm.Print_Area" localSheetId="0">RESUMEN!$A$1:$E$15</definedName>
    <definedName name="_xlnm.Print_Titles" localSheetId="5">'3000'!$1:$2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4" l="1"/>
  <c r="C69" i="4"/>
  <c r="P69" i="4"/>
  <c r="G103" i="7"/>
  <c r="F102" i="7"/>
  <c r="P51" i="4"/>
  <c r="F51" i="4"/>
  <c r="G51" i="4"/>
  <c r="H51" i="4"/>
  <c r="I51" i="4"/>
  <c r="J51" i="4"/>
  <c r="K51" i="4"/>
  <c r="L51" i="4"/>
  <c r="M51" i="4"/>
  <c r="N51" i="4"/>
  <c r="O51" i="4"/>
  <c r="E51" i="4"/>
  <c r="D51" i="4"/>
  <c r="C51" i="4"/>
  <c r="I155" i="7"/>
  <c r="J155" i="7"/>
  <c r="K155" i="7"/>
  <c r="L155" i="7"/>
  <c r="M155" i="7"/>
  <c r="N155" i="7"/>
  <c r="O155" i="7"/>
  <c r="P155" i="7"/>
  <c r="Q155" i="7"/>
  <c r="R155" i="7"/>
  <c r="S155" i="7"/>
  <c r="H155" i="7"/>
  <c r="G152" i="7"/>
  <c r="S151" i="7"/>
  <c r="S152" i="7" s="1"/>
  <c r="R151" i="7"/>
  <c r="R152" i="7" s="1"/>
  <c r="Q151" i="7"/>
  <c r="Q152" i="7" s="1"/>
  <c r="P151" i="7"/>
  <c r="P152" i="7" s="1"/>
  <c r="O151" i="7"/>
  <c r="O152" i="7" s="1"/>
  <c r="N151" i="7"/>
  <c r="N152" i="7" s="1"/>
  <c r="M151" i="7"/>
  <c r="M152" i="7" s="1"/>
  <c r="L151" i="7"/>
  <c r="L152" i="7" s="1"/>
  <c r="K151" i="7"/>
  <c r="K152" i="7" s="1"/>
  <c r="J151" i="7"/>
  <c r="J152" i="7" s="1"/>
  <c r="I151" i="7"/>
  <c r="I152" i="7" s="1"/>
  <c r="H151" i="7"/>
  <c r="H152" i="7" s="1"/>
  <c r="F151" i="7"/>
  <c r="G30" i="6"/>
  <c r="S102" i="7"/>
  <c r="Q102" i="7"/>
  <c r="P102" i="7"/>
  <c r="P103" i="7" s="1"/>
  <c r="L40" i="4" s="1"/>
  <c r="O102" i="7"/>
  <c r="N102" i="7"/>
  <c r="M102" i="7"/>
  <c r="M103" i="7" s="1"/>
  <c r="I40" i="4" s="1"/>
  <c r="L102" i="7"/>
  <c r="L103" i="7" s="1"/>
  <c r="H40" i="4" s="1"/>
  <c r="K102" i="7"/>
  <c r="J102" i="7"/>
  <c r="J103" i="7" s="1"/>
  <c r="F40" i="4" s="1"/>
  <c r="I102" i="7"/>
  <c r="I103" i="7" s="1"/>
  <c r="E40" i="4" s="1"/>
  <c r="H102" i="7"/>
  <c r="H103" i="7"/>
  <c r="D40" i="4" s="1"/>
  <c r="L93" i="7"/>
  <c r="L92" i="7"/>
  <c r="I98" i="7"/>
  <c r="R103" i="7"/>
  <c r="C40" i="2"/>
  <c r="T151" i="7" l="1"/>
  <c r="T152" i="7" s="1"/>
  <c r="T102" i="7"/>
  <c r="C40" i="4"/>
  <c r="N40" i="4"/>
  <c r="S103" i="7"/>
  <c r="O40" i="4" s="1"/>
  <c r="O103" i="7"/>
  <c r="K40" i="4" s="1"/>
  <c r="K103" i="7" l="1"/>
  <c r="G40" i="4" l="1"/>
  <c r="Q103" i="7"/>
  <c r="M40" i="4" s="1"/>
  <c r="N103" i="7"/>
  <c r="J40" i="4" s="1"/>
  <c r="P40" i="4" l="1"/>
  <c r="T103" i="7"/>
  <c r="Q15" i="5"/>
  <c r="D15" i="5" s="1"/>
  <c r="Q16" i="5"/>
  <c r="D16" i="5" s="1"/>
  <c r="Q8" i="5"/>
  <c r="D8" i="5" s="1"/>
  <c r="H31" i="1"/>
  <c r="R79" i="7" l="1"/>
  <c r="P79" i="7"/>
  <c r="N79" i="7"/>
  <c r="L79" i="7"/>
  <c r="J79" i="7"/>
  <c r="H79" i="7"/>
  <c r="K14" i="23"/>
  <c r="L14" i="23"/>
  <c r="M14" i="23"/>
  <c r="N14" i="23"/>
  <c r="O14" i="23"/>
  <c r="P14" i="23"/>
  <c r="Q14" i="23"/>
  <c r="J14" i="23"/>
  <c r="F14" i="23"/>
  <c r="K28" i="23"/>
  <c r="L28" i="23"/>
  <c r="M28" i="23"/>
  <c r="N28" i="23"/>
  <c r="O28" i="23"/>
  <c r="P28" i="23"/>
  <c r="Q28" i="23"/>
  <c r="J28" i="23"/>
  <c r="I28" i="23"/>
  <c r="H28" i="23"/>
  <c r="G28" i="23"/>
  <c r="F28" i="23"/>
  <c r="K29" i="23"/>
  <c r="L29" i="23"/>
  <c r="M29" i="23"/>
  <c r="N29" i="23"/>
  <c r="O29" i="23"/>
  <c r="P29" i="23"/>
  <c r="Q29" i="23"/>
  <c r="J29" i="23"/>
  <c r="I29" i="23"/>
  <c r="H29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K9" i="23"/>
  <c r="L9" i="23"/>
  <c r="M9" i="23"/>
  <c r="N9" i="23"/>
  <c r="O9" i="23"/>
  <c r="P9" i="23"/>
  <c r="Q9" i="23"/>
  <c r="J9" i="23"/>
  <c r="I9" i="23"/>
  <c r="H9" i="23"/>
  <c r="H49" i="1"/>
  <c r="E31" i="24"/>
  <c r="E32" i="24"/>
  <c r="E30" i="24"/>
  <c r="E26" i="24"/>
  <c r="E24" i="24"/>
  <c r="E25" i="24"/>
  <c r="J22" i="23"/>
  <c r="K22" i="23"/>
  <c r="L22" i="23"/>
  <c r="M22" i="23"/>
  <c r="N22" i="23"/>
  <c r="O22" i="23"/>
  <c r="P22" i="23"/>
  <c r="Q22" i="23"/>
  <c r="I22" i="23"/>
  <c r="H22" i="23"/>
  <c r="G22" i="23"/>
  <c r="F22" i="23"/>
  <c r="R28" i="23" l="1"/>
  <c r="R23" i="23"/>
  <c r="R9" i="23"/>
  <c r="R22" i="23"/>
  <c r="H32" i="1" l="1"/>
  <c r="H23" i="1"/>
  <c r="H42" i="1"/>
  <c r="H37" i="1"/>
  <c r="I9" i="7"/>
  <c r="J9" i="7"/>
  <c r="K9" i="7"/>
  <c r="L9" i="7"/>
  <c r="M9" i="7"/>
  <c r="N9" i="7"/>
  <c r="O9" i="7"/>
  <c r="P9" i="7"/>
  <c r="Q9" i="7"/>
  <c r="R9" i="7"/>
  <c r="S9" i="7"/>
  <c r="H9" i="7"/>
  <c r="I41" i="1"/>
  <c r="I16" i="1"/>
  <c r="K12" i="1"/>
  <c r="H12" i="1"/>
  <c r="I11" i="1"/>
  <c r="S57" i="7" l="1"/>
  <c r="N57" i="7"/>
  <c r="I57" i="7"/>
  <c r="J57" i="7"/>
  <c r="K57" i="7"/>
  <c r="L57" i="7"/>
  <c r="M57" i="7"/>
  <c r="O57" i="7"/>
  <c r="P57" i="7"/>
  <c r="Q57" i="7"/>
  <c r="R57" i="7"/>
  <c r="H57" i="7"/>
  <c r="F57" i="7"/>
  <c r="T57" i="7" l="1"/>
  <c r="I15" i="23"/>
  <c r="H15" i="23"/>
  <c r="G15" i="23"/>
  <c r="I10" i="23"/>
  <c r="H10" i="23"/>
  <c r="G10" i="23"/>
  <c r="Q10" i="23"/>
  <c r="P10" i="23"/>
  <c r="O10" i="23"/>
  <c r="N10" i="23"/>
  <c r="M10" i="23"/>
  <c r="L10" i="23"/>
  <c r="K10" i="23"/>
  <c r="J10" i="23"/>
  <c r="F11" i="23"/>
  <c r="E11" i="23"/>
  <c r="E30" i="23"/>
  <c r="I27" i="23"/>
  <c r="H27" i="23"/>
  <c r="G27" i="23"/>
  <c r="I21" i="23"/>
  <c r="H21" i="23"/>
  <c r="G21" i="23"/>
  <c r="Q21" i="23"/>
  <c r="P21" i="23"/>
  <c r="O21" i="23"/>
  <c r="N21" i="23"/>
  <c r="M21" i="23"/>
  <c r="L21" i="23"/>
  <c r="K21" i="23"/>
  <c r="J21" i="23"/>
  <c r="F21" i="23"/>
  <c r="E24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I33" i="23"/>
  <c r="H33" i="23"/>
  <c r="G33" i="23"/>
  <c r="I14" i="23"/>
  <c r="H14" i="23"/>
  <c r="G14" i="23"/>
  <c r="Q8" i="23"/>
  <c r="P8" i="23"/>
  <c r="O8" i="23"/>
  <c r="N8" i="23"/>
  <c r="M8" i="23"/>
  <c r="L8" i="23"/>
  <c r="K8" i="23"/>
  <c r="J8" i="23"/>
  <c r="I8" i="23"/>
  <c r="H8" i="23"/>
  <c r="G8" i="23"/>
  <c r="I7" i="23"/>
  <c r="H7" i="23"/>
  <c r="G7" i="23"/>
  <c r="H11" i="23" l="1"/>
  <c r="R20" i="23"/>
  <c r="I11" i="23"/>
  <c r="G11" i="23"/>
  <c r="R10" i="23"/>
  <c r="R8" i="23"/>
  <c r="R21" i="23"/>
  <c r="R14" i="23"/>
  <c r="I51" i="7"/>
  <c r="H51" i="7"/>
  <c r="J42" i="7"/>
  <c r="I42" i="7"/>
  <c r="H42" i="7"/>
  <c r="N44" i="7"/>
  <c r="H44" i="7"/>
  <c r="I5" i="7"/>
  <c r="J5" i="7"/>
  <c r="K5" i="7"/>
  <c r="L5" i="7"/>
  <c r="M5" i="7"/>
  <c r="N5" i="7"/>
  <c r="O5" i="7"/>
  <c r="P5" i="7"/>
  <c r="Q5" i="7"/>
  <c r="R5" i="7"/>
  <c r="S5" i="7"/>
  <c r="H5" i="7"/>
  <c r="O36" i="6"/>
  <c r="L36" i="6"/>
  <c r="H36" i="6"/>
  <c r="J33" i="6"/>
  <c r="I33" i="6"/>
  <c r="L29" i="6"/>
  <c r="K29" i="6"/>
  <c r="J29" i="6"/>
  <c r="I29" i="6"/>
  <c r="H29" i="6"/>
  <c r="K28" i="6"/>
  <c r="J28" i="6"/>
  <c r="M27" i="6"/>
  <c r="L27" i="6"/>
  <c r="K27" i="6"/>
  <c r="J27" i="6"/>
  <c r="H27" i="6"/>
  <c r="L26" i="6"/>
  <c r="I26" i="6"/>
  <c r="J22" i="6"/>
  <c r="L16" i="6"/>
  <c r="J15" i="6"/>
  <c r="K17" i="6"/>
  <c r="M7" i="6"/>
  <c r="I36" i="6" l="1"/>
  <c r="R35" i="6"/>
  <c r="O35" i="6"/>
  <c r="L35" i="6"/>
  <c r="I35" i="6"/>
  <c r="I48" i="1" l="1"/>
  <c r="I13" i="1"/>
  <c r="I22" i="1"/>
  <c r="J22" i="1"/>
  <c r="H22" i="1"/>
  <c r="J12" i="1"/>
  <c r="I12" i="1"/>
  <c r="J11" i="1"/>
  <c r="H129" i="7"/>
  <c r="K128" i="7"/>
  <c r="I128" i="7"/>
  <c r="M116" i="7"/>
  <c r="S84" i="7"/>
  <c r="O84" i="7"/>
  <c r="M34" i="6" l="1"/>
  <c r="L34" i="6"/>
  <c r="K34" i="6"/>
  <c r="J34" i="6"/>
  <c r="I34" i="6"/>
  <c r="H34" i="6"/>
  <c r="M33" i="6"/>
  <c r="H33" i="6"/>
  <c r="S38" i="7"/>
  <c r="Q38" i="7"/>
  <c r="O38" i="7"/>
  <c r="M38" i="7"/>
  <c r="K38" i="7"/>
  <c r="I38" i="7"/>
  <c r="S37" i="7"/>
  <c r="Q37" i="7"/>
  <c r="O37" i="7"/>
  <c r="M37" i="7"/>
  <c r="K37" i="7"/>
  <c r="I37" i="7"/>
  <c r="J33" i="7"/>
  <c r="H33" i="7"/>
  <c r="N31" i="7"/>
  <c r="K31" i="7"/>
  <c r="S22" i="7"/>
  <c r="J22" i="7"/>
  <c r="K22" i="7"/>
  <c r="L22" i="7"/>
  <c r="M22" i="7"/>
  <c r="N22" i="7"/>
  <c r="O22" i="7"/>
  <c r="P22" i="7"/>
  <c r="Q22" i="7"/>
  <c r="R22" i="7"/>
  <c r="I22" i="7"/>
  <c r="H22" i="7"/>
  <c r="S91" i="6"/>
  <c r="Q91" i="6"/>
  <c r="O91" i="6"/>
  <c r="M91" i="6"/>
  <c r="K91" i="6"/>
  <c r="I91" i="6"/>
  <c r="R90" i="6"/>
  <c r="Q90" i="6"/>
  <c r="P90" i="6"/>
  <c r="L90" i="6"/>
  <c r="K90" i="6"/>
  <c r="J90" i="6"/>
  <c r="H90" i="6"/>
  <c r="N86" i="6"/>
  <c r="M86" i="6"/>
  <c r="L86" i="6"/>
  <c r="K86" i="6"/>
  <c r="J86" i="6"/>
  <c r="I86" i="6"/>
  <c r="O86" i="6"/>
  <c r="P86" i="6"/>
  <c r="Q86" i="6"/>
  <c r="R86" i="6"/>
  <c r="S86" i="6"/>
  <c r="H86" i="6"/>
  <c r="S78" i="6"/>
  <c r="Q78" i="6"/>
  <c r="O78" i="6"/>
  <c r="N78" i="6"/>
  <c r="M78" i="6"/>
  <c r="K78" i="6"/>
  <c r="I78" i="6"/>
  <c r="N77" i="6"/>
  <c r="N73" i="6"/>
  <c r="Q69" i="6"/>
  <c r="N70" i="6"/>
  <c r="N69" i="6"/>
  <c r="H70" i="6"/>
  <c r="K69" i="6"/>
  <c r="H69" i="6"/>
  <c r="N68" i="6"/>
  <c r="K68" i="6"/>
  <c r="H68" i="6"/>
  <c r="K67" i="6"/>
  <c r="H67" i="6"/>
  <c r="Q66" i="6"/>
  <c r="K66" i="6"/>
  <c r="H66" i="6"/>
  <c r="N65" i="6"/>
  <c r="K65" i="6"/>
  <c r="H65" i="6"/>
  <c r="N64" i="6"/>
  <c r="K64" i="6"/>
  <c r="H64" i="6"/>
  <c r="P63" i="6"/>
  <c r="N63" i="6"/>
  <c r="L63" i="6"/>
  <c r="J63" i="6"/>
  <c r="N62" i="6"/>
  <c r="K62" i="6"/>
  <c r="S59" i="6"/>
  <c r="R59" i="6"/>
  <c r="J59" i="6"/>
  <c r="K59" i="6"/>
  <c r="L59" i="6"/>
  <c r="M59" i="6"/>
  <c r="N59" i="6"/>
  <c r="O59" i="6"/>
  <c r="P59" i="6"/>
  <c r="Q59" i="6"/>
  <c r="I59" i="6"/>
  <c r="H59" i="6"/>
  <c r="N55" i="6"/>
  <c r="K55" i="6"/>
  <c r="H55" i="6"/>
  <c r="N54" i="6"/>
  <c r="H54" i="6"/>
  <c r="N53" i="6"/>
  <c r="K53" i="6"/>
  <c r="H53" i="6"/>
  <c r="K51" i="6"/>
  <c r="K49" i="6"/>
  <c r="N48" i="6"/>
  <c r="N46" i="6"/>
  <c r="L46" i="6"/>
  <c r="J46" i="6"/>
  <c r="H46" i="6"/>
  <c r="I46" i="6"/>
  <c r="L43" i="6" l="1"/>
  <c r="Q10" i="5"/>
  <c r="D10" i="5" s="1"/>
  <c r="Q4" i="5"/>
  <c r="D4" i="5" s="1"/>
  <c r="N29" i="6"/>
  <c r="M29" i="6"/>
  <c r="N26" i="6"/>
  <c r="M26" i="6"/>
  <c r="J26" i="6"/>
  <c r="H26" i="6"/>
  <c r="P24" i="6"/>
  <c r="O23" i="6"/>
  <c r="N23" i="6"/>
  <c r="M23" i="6"/>
  <c r="L23" i="6"/>
  <c r="K23" i="6"/>
  <c r="J23" i="6"/>
  <c r="I23" i="6"/>
  <c r="H23" i="6"/>
  <c r="N22" i="6"/>
  <c r="K22" i="6"/>
  <c r="I22" i="6"/>
  <c r="M21" i="6"/>
  <c r="J17" i="6"/>
  <c r="I17" i="6"/>
  <c r="N14" i="6"/>
  <c r="K14" i="6"/>
  <c r="S13" i="6"/>
  <c r="N13" i="6"/>
  <c r="J12" i="6"/>
  <c r="J11" i="6"/>
  <c r="Q9" i="6"/>
  <c r="M9" i="6"/>
  <c r="O19" i="6" l="1"/>
  <c r="K19" i="6"/>
  <c r="J19" i="6"/>
  <c r="I19" i="6"/>
  <c r="N18" i="6"/>
  <c r="J18" i="6"/>
  <c r="I18" i="6"/>
  <c r="M10" i="6"/>
  <c r="L10" i="6"/>
  <c r="I10" i="6"/>
  <c r="M20" i="5" l="1"/>
  <c r="K20" i="5"/>
  <c r="P20" i="5"/>
  <c r="O20" i="5"/>
  <c r="N20" i="5"/>
  <c r="L20" i="5"/>
  <c r="J20" i="5"/>
  <c r="I20" i="5"/>
  <c r="H20" i="5"/>
  <c r="G20" i="5"/>
  <c r="F20" i="5"/>
  <c r="E20" i="5"/>
  <c r="H128" i="7" l="1"/>
  <c r="G16" i="23" l="1"/>
  <c r="K11" i="1" l="1"/>
  <c r="K16" i="1"/>
  <c r="S56" i="7"/>
  <c r="N56" i="7"/>
  <c r="I56" i="7"/>
  <c r="J56" i="7"/>
  <c r="K56" i="7"/>
  <c r="L56" i="7"/>
  <c r="M56" i="7"/>
  <c r="O56" i="7"/>
  <c r="P56" i="7"/>
  <c r="Q56" i="7"/>
  <c r="R56" i="7"/>
  <c r="H56" i="7"/>
  <c r="L116" i="7"/>
  <c r="L106" i="7"/>
  <c r="I80" i="7" l="1"/>
  <c r="J80" i="7"/>
  <c r="K80" i="7"/>
  <c r="L80" i="7"/>
  <c r="M80" i="7"/>
  <c r="N80" i="7"/>
  <c r="O80" i="7"/>
  <c r="P80" i="7"/>
  <c r="Q80" i="7"/>
  <c r="R80" i="7"/>
  <c r="S80" i="7"/>
  <c r="H80" i="7"/>
  <c r="S79" i="7"/>
  <c r="Q79" i="7"/>
  <c r="O79" i="7"/>
  <c r="M79" i="7"/>
  <c r="K79" i="7"/>
  <c r="I79" i="7"/>
  <c r="F79" i="7"/>
  <c r="T79" i="7" l="1"/>
  <c r="I30" i="7"/>
  <c r="K100" i="6"/>
  <c r="H48" i="1"/>
  <c r="K17" i="1"/>
  <c r="H25" i="1"/>
  <c r="H13" i="1"/>
  <c r="H148" i="7"/>
  <c r="R135" i="7"/>
  <c r="P135" i="7"/>
  <c r="N135" i="7"/>
  <c r="L135" i="7"/>
  <c r="K135" i="7"/>
  <c r="N134" i="7"/>
  <c r="K134" i="7"/>
  <c r="H134" i="7"/>
  <c r="N133" i="7"/>
  <c r="K133" i="7"/>
  <c r="P116" i="7"/>
  <c r="N112" i="7"/>
  <c r="K111" i="7"/>
  <c r="K110" i="7"/>
  <c r="P106" i="7"/>
  <c r="M106" i="7"/>
  <c r="T56" i="7"/>
  <c r="F56" i="7"/>
  <c r="I76" i="6"/>
  <c r="J76" i="6"/>
  <c r="K76" i="6"/>
  <c r="L76" i="6"/>
  <c r="M76" i="6"/>
  <c r="N76" i="6"/>
  <c r="O76" i="6"/>
  <c r="P76" i="6"/>
  <c r="Q76" i="6"/>
  <c r="R76" i="6"/>
  <c r="S76" i="6"/>
  <c r="H76" i="6"/>
  <c r="N72" i="6"/>
  <c r="K72" i="6"/>
  <c r="Q71" i="6"/>
  <c r="N71" i="6"/>
  <c r="K71" i="6"/>
  <c r="H71" i="6"/>
  <c r="K52" i="6"/>
  <c r="N51" i="6"/>
  <c r="H51" i="6"/>
  <c r="N49" i="6"/>
  <c r="N41" i="6"/>
  <c r="P40" i="6"/>
  <c r="O40" i="6"/>
  <c r="M40" i="6"/>
  <c r="K40" i="6"/>
  <c r="Q8" i="6"/>
  <c r="L5" i="6"/>
  <c r="L6" i="6"/>
  <c r="H29" i="1" l="1"/>
  <c r="K136" i="7" l="1"/>
  <c r="N136" i="7"/>
  <c r="I74" i="4" l="1"/>
  <c r="K74" i="4"/>
  <c r="L74" i="4"/>
  <c r="N74" i="4"/>
  <c r="O74" i="4"/>
  <c r="J74" i="4"/>
  <c r="F74" i="4"/>
  <c r="G74" i="4"/>
  <c r="H74" i="4"/>
  <c r="D74" i="4"/>
  <c r="H36" i="1" l="1"/>
  <c r="Q14" i="5" l="1"/>
  <c r="D14" i="5" s="1"/>
  <c r="S64" i="7" l="1"/>
  <c r="R64" i="7"/>
  <c r="Q64" i="7"/>
  <c r="P64" i="7"/>
  <c r="O64" i="7"/>
  <c r="N64" i="7"/>
  <c r="M64" i="7"/>
  <c r="L64" i="7"/>
  <c r="K64" i="7"/>
  <c r="J64" i="7"/>
  <c r="I64" i="7"/>
  <c r="H64" i="7"/>
  <c r="F64" i="7"/>
  <c r="T64" i="7" l="1"/>
  <c r="I19" i="23"/>
  <c r="I24" i="23" s="1"/>
  <c r="H19" i="23"/>
  <c r="H24" i="23" s="1"/>
  <c r="G19" i="23"/>
  <c r="G24" i="23" s="1"/>
  <c r="S78" i="7" l="1"/>
  <c r="R78" i="7"/>
  <c r="Q78" i="7"/>
  <c r="P78" i="7"/>
  <c r="O78" i="7"/>
  <c r="N78" i="7"/>
  <c r="M78" i="7"/>
  <c r="L78" i="7"/>
  <c r="K78" i="7"/>
  <c r="J78" i="7"/>
  <c r="I78" i="7"/>
  <c r="H78" i="7"/>
  <c r="F80" i="7"/>
  <c r="F78" i="7"/>
  <c r="T78" i="7" l="1"/>
  <c r="T80" i="7"/>
  <c r="Q15" i="23"/>
  <c r="P15" i="23"/>
  <c r="O15" i="23"/>
  <c r="N15" i="23"/>
  <c r="M15" i="23"/>
  <c r="L15" i="23"/>
  <c r="K15" i="23"/>
  <c r="J15" i="23"/>
  <c r="E16" i="23"/>
  <c r="F15" i="23"/>
  <c r="R15" i="23" l="1"/>
  <c r="J73" i="7"/>
  <c r="Q73" i="7"/>
  <c r="J98" i="7" l="1"/>
  <c r="H30" i="1" l="1"/>
  <c r="M135" i="7"/>
  <c r="S135" i="7"/>
  <c r="Q135" i="7"/>
  <c r="O135" i="7"/>
  <c r="I135" i="7"/>
  <c r="J135" i="7"/>
  <c r="H135" i="7"/>
  <c r="S134" i="7"/>
  <c r="R134" i="7"/>
  <c r="Q134" i="7"/>
  <c r="P134" i="7"/>
  <c r="O134" i="7"/>
  <c r="M134" i="7"/>
  <c r="L134" i="7"/>
  <c r="J134" i="7"/>
  <c r="I134" i="7"/>
  <c r="O133" i="7"/>
  <c r="M133" i="7"/>
  <c r="F134" i="7"/>
  <c r="F135" i="7"/>
  <c r="J116" i="7"/>
  <c r="K112" i="7"/>
  <c r="S112" i="7"/>
  <c r="R112" i="7"/>
  <c r="Q112" i="7"/>
  <c r="P112" i="7"/>
  <c r="O112" i="7"/>
  <c r="M112" i="7"/>
  <c r="L112" i="7"/>
  <c r="J112" i="7"/>
  <c r="I112" i="7"/>
  <c r="H112" i="7"/>
  <c r="F111" i="7"/>
  <c r="F112" i="7"/>
  <c r="S111" i="7"/>
  <c r="R111" i="7"/>
  <c r="Q111" i="7"/>
  <c r="P111" i="7"/>
  <c r="O111" i="7"/>
  <c r="N111" i="7"/>
  <c r="M111" i="7"/>
  <c r="L111" i="7"/>
  <c r="J111" i="7"/>
  <c r="I111" i="7"/>
  <c r="H111" i="7"/>
  <c r="J106" i="7"/>
  <c r="I69" i="7"/>
  <c r="H69" i="7"/>
  <c r="L94" i="7"/>
  <c r="S94" i="7"/>
  <c r="R94" i="7"/>
  <c r="Q94" i="7"/>
  <c r="P94" i="7"/>
  <c r="O94" i="7"/>
  <c r="N94" i="7"/>
  <c r="M94" i="7"/>
  <c r="K94" i="7"/>
  <c r="J94" i="7"/>
  <c r="I94" i="7"/>
  <c r="H94" i="7"/>
  <c r="S93" i="7"/>
  <c r="R93" i="7"/>
  <c r="Q93" i="7"/>
  <c r="P93" i="7"/>
  <c r="O93" i="7"/>
  <c r="N93" i="7"/>
  <c r="M93" i="7"/>
  <c r="K93" i="7"/>
  <c r="J93" i="7"/>
  <c r="I93" i="7"/>
  <c r="H93" i="7"/>
  <c r="M92" i="7"/>
  <c r="J92" i="7"/>
  <c r="F93" i="7"/>
  <c r="F94" i="7"/>
  <c r="Q88" i="7"/>
  <c r="J88" i="7"/>
  <c r="I88" i="7"/>
  <c r="O73" i="7"/>
  <c r="N73" i="7"/>
  <c r="L73" i="7"/>
  <c r="K73" i="7"/>
  <c r="I73" i="7"/>
  <c r="H73" i="7"/>
  <c r="M136" i="7" l="1"/>
  <c r="O136" i="7"/>
  <c r="T135" i="7"/>
  <c r="T134" i="7"/>
  <c r="T111" i="7"/>
  <c r="T112" i="7"/>
  <c r="L95" i="7"/>
  <c r="J95" i="7"/>
  <c r="M95" i="7"/>
  <c r="T93" i="7"/>
  <c r="T94" i="7"/>
  <c r="S63" i="7"/>
  <c r="R63" i="7"/>
  <c r="Q63" i="7"/>
  <c r="P63" i="7"/>
  <c r="O63" i="7"/>
  <c r="N63" i="7"/>
  <c r="M63" i="7"/>
  <c r="L63" i="7"/>
  <c r="K63" i="7"/>
  <c r="J63" i="7"/>
  <c r="I63" i="7"/>
  <c r="S62" i="7"/>
  <c r="S65" i="7" s="1"/>
  <c r="R62" i="7"/>
  <c r="R65" i="7" s="1"/>
  <c r="Q62" i="7"/>
  <c r="P62" i="7"/>
  <c r="O62" i="7"/>
  <c r="N62" i="7"/>
  <c r="M62" i="7"/>
  <c r="M65" i="7" s="1"/>
  <c r="L62" i="7"/>
  <c r="K62" i="7"/>
  <c r="K65" i="7" s="1"/>
  <c r="J62" i="7"/>
  <c r="J65" i="7" s="1"/>
  <c r="I62" i="7"/>
  <c r="S58" i="7"/>
  <c r="S55" i="7"/>
  <c r="N58" i="7"/>
  <c r="N55" i="7"/>
  <c r="O46" i="7"/>
  <c r="N46" i="7"/>
  <c r="J31" i="7"/>
  <c r="H31" i="7"/>
  <c r="L65" i="7" l="1"/>
  <c r="N65" i="7"/>
  <c r="O65" i="7"/>
  <c r="P65" i="7"/>
  <c r="I65" i="7"/>
  <c r="Q65" i="7"/>
  <c r="R77" i="6"/>
  <c r="Q77" i="6"/>
  <c r="O77" i="6"/>
  <c r="M77" i="6"/>
  <c r="K77" i="6"/>
  <c r="S71" i="6"/>
  <c r="L71" i="6"/>
  <c r="I71" i="6"/>
  <c r="S34" i="6" l="1"/>
  <c r="R34" i="6"/>
  <c r="Q34" i="6"/>
  <c r="P34" i="6"/>
  <c r="O34" i="6"/>
  <c r="N34" i="6"/>
  <c r="F34" i="6"/>
  <c r="Q72" i="6"/>
  <c r="L72" i="6"/>
  <c r="I72" i="6"/>
  <c r="H72" i="6"/>
  <c r="O82" i="6"/>
  <c r="N82" i="6"/>
  <c r="M82" i="6"/>
  <c r="L82" i="6"/>
  <c r="Q82" i="6"/>
  <c r="P82" i="6"/>
  <c r="S82" i="6"/>
  <c r="R82" i="6"/>
  <c r="K82" i="6"/>
  <c r="J82" i="6"/>
  <c r="I82" i="6"/>
  <c r="H82" i="6"/>
  <c r="T34" i="6" l="1"/>
  <c r="R58" i="7"/>
  <c r="Q58" i="7"/>
  <c r="P58" i="7"/>
  <c r="O58" i="7"/>
  <c r="M58" i="7"/>
  <c r="L58" i="7"/>
  <c r="K58" i="7"/>
  <c r="J58" i="7"/>
  <c r="I58" i="7"/>
  <c r="H58" i="7"/>
  <c r="S100" i="6"/>
  <c r="R100" i="6"/>
  <c r="Q100" i="6"/>
  <c r="P100" i="6"/>
  <c r="O100" i="6"/>
  <c r="N100" i="6"/>
  <c r="M100" i="6"/>
  <c r="L100" i="6"/>
  <c r="J100" i="6"/>
  <c r="I100" i="6"/>
  <c r="H100" i="6"/>
  <c r="Q92" i="6"/>
  <c r="N92" i="6"/>
  <c r="R91" i="6"/>
  <c r="P91" i="6"/>
  <c r="N91" i="6"/>
  <c r="L91" i="6"/>
  <c r="J91" i="6"/>
  <c r="H91" i="6"/>
  <c r="N90" i="6"/>
  <c r="N75" i="6"/>
  <c r="M75" i="6"/>
  <c r="I75" i="6"/>
  <c r="H75" i="6"/>
  <c r="J74" i="6"/>
  <c r="H74" i="6"/>
  <c r="H73" i="6"/>
  <c r="R70" i="6"/>
  <c r="P70" i="6"/>
  <c r="O70" i="6"/>
  <c r="M70" i="6"/>
  <c r="L70" i="6"/>
  <c r="J70" i="6"/>
  <c r="I70" i="6"/>
  <c r="R69" i="6"/>
  <c r="P69" i="6"/>
  <c r="O69" i="6"/>
  <c r="M69" i="6"/>
  <c r="L69" i="6"/>
  <c r="J69" i="6"/>
  <c r="I69" i="6"/>
  <c r="R68" i="6"/>
  <c r="P68" i="6"/>
  <c r="O68" i="6"/>
  <c r="M68" i="6"/>
  <c r="L68" i="6"/>
  <c r="J68" i="6"/>
  <c r="I68" i="6"/>
  <c r="S67" i="6"/>
  <c r="R67" i="6"/>
  <c r="P67" i="6"/>
  <c r="M67" i="6"/>
  <c r="J67" i="6"/>
  <c r="S66" i="6"/>
  <c r="R66" i="6"/>
  <c r="P66" i="6"/>
  <c r="O66" i="6"/>
  <c r="L66" i="6"/>
  <c r="J66" i="6"/>
  <c r="M62" i="6"/>
  <c r="L62" i="6"/>
  <c r="J62" i="6"/>
  <c r="I62" i="6"/>
  <c r="H62" i="6"/>
  <c r="P61" i="6"/>
  <c r="N61" i="6"/>
  <c r="I61" i="6"/>
  <c r="H61" i="6"/>
  <c r="O60" i="6"/>
  <c r="N60" i="6"/>
  <c r="L60" i="6"/>
  <c r="P55" i="6"/>
  <c r="L55" i="6"/>
  <c r="J55" i="6"/>
  <c r="R54" i="6"/>
  <c r="P54" i="6"/>
  <c r="L54" i="6"/>
  <c r="K54" i="6"/>
  <c r="S53" i="6"/>
  <c r="P53" i="6"/>
  <c r="M53" i="6"/>
  <c r="J53" i="6"/>
  <c r="O52" i="6"/>
  <c r="I52" i="6"/>
  <c r="R51" i="6"/>
  <c r="M51" i="6"/>
  <c r="J51" i="6"/>
  <c r="N50" i="6"/>
  <c r="L50" i="6"/>
  <c r="Q49" i="6"/>
  <c r="M49" i="6"/>
  <c r="I49" i="6"/>
  <c r="H49" i="6"/>
  <c r="P48" i="6"/>
  <c r="J48" i="6"/>
  <c r="H48" i="6"/>
  <c r="S47" i="6"/>
  <c r="O47" i="6"/>
  <c r="N47" i="6"/>
  <c r="L47" i="6"/>
  <c r="K47" i="6"/>
  <c r="K46" i="6"/>
  <c r="S46" i="6"/>
  <c r="Q46" i="6"/>
  <c r="R45" i="6"/>
  <c r="N45" i="6"/>
  <c r="J45" i="6"/>
  <c r="H45" i="6"/>
  <c r="O44" i="6"/>
  <c r="N44" i="6"/>
  <c r="I44" i="6"/>
  <c r="H44" i="6"/>
  <c r="R43" i="6"/>
  <c r="J43" i="6"/>
  <c r="H43" i="6"/>
  <c r="Q42" i="6"/>
  <c r="N42" i="6"/>
  <c r="M42" i="6"/>
  <c r="I42" i="6"/>
  <c r="H42" i="6"/>
  <c r="Q41" i="6"/>
  <c r="J40" i="6"/>
  <c r="H40" i="6"/>
  <c r="J36" i="6"/>
  <c r="Q5" i="5"/>
  <c r="D5" i="5" s="1"/>
  <c r="Q6" i="5"/>
  <c r="D6" i="5" s="1"/>
  <c r="Q7" i="5"/>
  <c r="D7" i="5" s="1"/>
  <c r="Q9" i="5"/>
  <c r="Q11" i="5"/>
  <c r="Q12" i="5"/>
  <c r="D12" i="5" s="1"/>
  <c r="Q13" i="5"/>
  <c r="D13" i="5" s="1"/>
  <c r="Q17" i="5"/>
  <c r="Q18" i="5"/>
  <c r="Q3" i="5"/>
  <c r="D3" i="5" s="1"/>
  <c r="O29" i="6"/>
  <c r="R28" i="6"/>
  <c r="Q28" i="6"/>
  <c r="O28" i="6"/>
  <c r="M28" i="6"/>
  <c r="H28" i="6"/>
  <c r="I27" i="6"/>
  <c r="S27" i="6"/>
  <c r="P27" i="6"/>
  <c r="N27" i="6"/>
  <c r="L25" i="6"/>
  <c r="H24" i="6"/>
  <c r="S22" i="6"/>
  <c r="Q22" i="6"/>
  <c r="Q21" i="6"/>
  <c r="P20" i="6"/>
  <c r="Q20" i="5" l="1"/>
  <c r="H17" i="6"/>
  <c r="K16" i="6"/>
  <c r="J16" i="6"/>
  <c r="H16" i="6"/>
  <c r="K15" i="6"/>
  <c r="I15" i="6"/>
  <c r="H15" i="6"/>
  <c r="H12" i="6"/>
  <c r="H11" i="6"/>
  <c r="Q10" i="6"/>
  <c r="P10" i="6"/>
  <c r="O10" i="6"/>
  <c r="J10" i="6"/>
  <c r="S9" i="6"/>
  <c r="R9" i="6"/>
  <c r="P9" i="6"/>
  <c r="O9" i="6"/>
  <c r="N9" i="6"/>
  <c r="K9" i="6"/>
  <c r="L9" i="6"/>
  <c r="J9" i="6"/>
  <c r="I9" i="6"/>
  <c r="H9" i="6"/>
  <c r="F9" i="6"/>
  <c r="R7" i="6"/>
  <c r="R6" i="6"/>
  <c r="P6" i="6"/>
  <c r="N6" i="6"/>
  <c r="J6" i="6"/>
  <c r="P5" i="6"/>
  <c r="H5" i="6"/>
  <c r="F29" i="23"/>
  <c r="R29" i="23" l="1"/>
  <c r="T9" i="6"/>
  <c r="I30" i="23" l="1"/>
  <c r="H30" i="23"/>
  <c r="G30" i="23"/>
  <c r="I16" i="23"/>
  <c r="H16" i="23"/>
  <c r="K27" i="23" l="1"/>
  <c r="K30" i="23" s="1"/>
  <c r="O16" i="23"/>
  <c r="L16" i="23"/>
  <c r="J19" i="23" l="1"/>
  <c r="J24" i="23" s="1"/>
  <c r="K19" i="23"/>
  <c r="K24" i="23" s="1"/>
  <c r="L19" i="23"/>
  <c r="L24" i="23" s="1"/>
  <c r="M19" i="23"/>
  <c r="M24" i="23" s="1"/>
  <c r="N19" i="23"/>
  <c r="N24" i="23" s="1"/>
  <c r="O19" i="23"/>
  <c r="O24" i="23" s="1"/>
  <c r="P19" i="23"/>
  <c r="P24" i="23" s="1"/>
  <c r="Q19" i="23"/>
  <c r="Q24" i="23" s="1"/>
  <c r="F19" i="23"/>
  <c r="F24" i="23" s="1"/>
  <c r="F16" i="23"/>
  <c r="P133" i="7"/>
  <c r="P136" i="7" s="1"/>
  <c r="R19" i="23" l="1"/>
  <c r="R24" i="23" s="1"/>
  <c r="K43" i="7"/>
  <c r="I43" i="7"/>
  <c r="H133" i="7"/>
  <c r="H136" i="7" s="1"/>
  <c r="H106" i="7"/>
  <c r="K46" i="7"/>
  <c r="H46" i="7"/>
  <c r="M46" i="7"/>
  <c r="R17" i="7"/>
  <c r="S17" i="7"/>
  <c r="M17" i="7"/>
  <c r="N17" i="7"/>
  <c r="O17" i="7"/>
  <c r="P17" i="7"/>
  <c r="Q17" i="7"/>
  <c r="L17" i="7"/>
  <c r="H101" i="6"/>
  <c r="D17" i="4" s="1"/>
  <c r="S101" i="6"/>
  <c r="O17" i="4" s="1"/>
  <c r="R101" i="6"/>
  <c r="N17" i="4" s="1"/>
  <c r="Q101" i="6"/>
  <c r="M17" i="4" s="1"/>
  <c r="P101" i="6"/>
  <c r="L17" i="4" s="1"/>
  <c r="O101" i="6"/>
  <c r="K17" i="4" s="1"/>
  <c r="N101" i="6"/>
  <c r="J17" i="4" s="1"/>
  <c r="M101" i="6"/>
  <c r="I17" i="4" s="1"/>
  <c r="L101" i="6"/>
  <c r="H17" i="4" s="1"/>
  <c r="K101" i="6"/>
  <c r="G17" i="4" s="1"/>
  <c r="J101" i="6"/>
  <c r="F17" i="4" s="1"/>
  <c r="F100" i="6"/>
  <c r="G101" i="6" s="1"/>
  <c r="T100" i="6" l="1"/>
  <c r="T101" i="6" s="1"/>
  <c r="C16" i="2"/>
  <c r="C17" i="4"/>
  <c r="I101" i="6"/>
  <c r="E17" i="4" s="1"/>
  <c r="I6" i="1" l="1"/>
  <c r="I5" i="1"/>
  <c r="H6" i="1"/>
  <c r="H5" i="1"/>
  <c r="R106" i="7"/>
  <c r="O106" i="7"/>
  <c r="Q32" i="7"/>
  <c r="N32" i="7"/>
  <c r="I32" i="7"/>
  <c r="O31" i="7"/>
  <c r="H63" i="7"/>
  <c r="H62" i="7"/>
  <c r="H65" i="7" s="1"/>
  <c r="R73" i="7"/>
  <c r="M73" i="7"/>
  <c r="P73" i="7"/>
  <c r="S73" i="7"/>
  <c r="J69" i="7"/>
  <c r="K69" i="7"/>
  <c r="L69" i="7"/>
  <c r="M69" i="7"/>
  <c r="N69" i="7"/>
  <c r="O69" i="7"/>
  <c r="P69" i="7"/>
  <c r="Q69" i="7"/>
  <c r="R69" i="7"/>
  <c r="S69" i="7"/>
  <c r="H68" i="7"/>
  <c r="R38" i="7"/>
  <c r="P38" i="7"/>
  <c r="N38" i="7"/>
  <c r="L38" i="7"/>
  <c r="J38" i="7"/>
  <c r="H38" i="7"/>
  <c r="J37" i="7"/>
  <c r="L37" i="7"/>
  <c r="N37" i="7"/>
  <c r="P37" i="7"/>
  <c r="R37" i="7"/>
  <c r="H37" i="7"/>
  <c r="N88" i="7"/>
  <c r="I77" i="7"/>
  <c r="I81" i="7" s="1"/>
  <c r="J77" i="7"/>
  <c r="J81" i="7" s="1"/>
  <c r="K77" i="7"/>
  <c r="K81" i="7" s="1"/>
  <c r="L77" i="7"/>
  <c r="L81" i="7" s="1"/>
  <c r="M77" i="7"/>
  <c r="M81" i="7" s="1"/>
  <c r="N77" i="7"/>
  <c r="N81" i="7" s="1"/>
  <c r="O77" i="7"/>
  <c r="O81" i="7" s="1"/>
  <c r="P77" i="7"/>
  <c r="P81" i="7" s="1"/>
  <c r="Q77" i="7"/>
  <c r="Q81" i="7" s="1"/>
  <c r="R77" i="7"/>
  <c r="R81" i="7" s="1"/>
  <c r="S77" i="7"/>
  <c r="S81" i="7" s="1"/>
  <c r="H77" i="7"/>
  <c r="H81" i="7" s="1"/>
  <c r="I55" i="7"/>
  <c r="J55" i="7"/>
  <c r="K55" i="7"/>
  <c r="L55" i="7"/>
  <c r="M55" i="7"/>
  <c r="O55" i="7"/>
  <c r="P55" i="7"/>
  <c r="Q55" i="7"/>
  <c r="R55" i="7"/>
  <c r="H55" i="7"/>
  <c r="I33" i="7"/>
  <c r="K33" i="7"/>
  <c r="L33" i="7"/>
  <c r="M33" i="7"/>
  <c r="N33" i="7"/>
  <c r="O33" i="7"/>
  <c r="P33" i="7"/>
  <c r="Q33" i="7"/>
  <c r="R33" i="7"/>
  <c r="S33" i="7"/>
  <c r="J32" i="7"/>
  <c r="K32" i="7"/>
  <c r="L32" i="7"/>
  <c r="M32" i="7"/>
  <c r="O32" i="7"/>
  <c r="P32" i="7"/>
  <c r="R32" i="7"/>
  <c r="S32" i="7"/>
  <c r="I31" i="7"/>
  <c r="L31" i="7"/>
  <c r="M31" i="7"/>
  <c r="P31" i="7"/>
  <c r="Q31" i="7"/>
  <c r="R31" i="7"/>
  <c r="S31" i="7"/>
  <c r="R30" i="7"/>
  <c r="P30" i="7"/>
  <c r="M30" i="7"/>
  <c r="S26" i="7"/>
  <c r="R26" i="7"/>
  <c r="Q26" i="7"/>
  <c r="P26" i="7"/>
  <c r="O26" i="7"/>
  <c r="N26" i="7"/>
  <c r="M26" i="7"/>
  <c r="L26" i="7"/>
  <c r="K26" i="7"/>
  <c r="J26" i="7"/>
  <c r="I26" i="7"/>
  <c r="H26" i="7"/>
  <c r="S21" i="7"/>
  <c r="R21" i="7"/>
  <c r="Q21" i="7"/>
  <c r="P21" i="7"/>
  <c r="O21" i="7"/>
  <c r="N21" i="7"/>
  <c r="M21" i="7"/>
  <c r="L21" i="7"/>
  <c r="K21" i="7"/>
  <c r="J21" i="7"/>
  <c r="I21" i="7"/>
  <c r="H21" i="7"/>
  <c r="K17" i="7"/>
  <c r="H17" i="7"/>
  <c r="I13" i="7"/>
  <c r="J13" i="7"/>
  <c r="K13" i="7"/>
  <c r="L13" i="7"/>
  <c r="M13" i="7"/>
  <c r="N13" i="7"/>
  <c r="O13" i="7"/>
  <c r="P13" i="7"/>
  <c r="Q13" i="7"/>
  <c r="R13" i="7"/>
  <c r="S13" i="7"/>
  <c r="H13" i="7"/>
  <c r="H96" i="6" l="1"/>
  <c r="D16" i="4" s="1"/>
  <c r="S92" i="6"/>
  <c r="R92" i="6"/>
  <c r="P92" i="6"/>
  <c r="O92" i="6"/>
  <c r="M92" i="6"/>
  <c r="L92" i="6"/>
  <c r="K92" i="6"/>
  <c r="J92" i="6"/>
  <c r="I92" i="6"/>
  <c r="H92" i="6"/>
  <c r="F91" i="6"/>
  <c r="F92" i="6"/>
  <c r="J78" i="6"/>
  <c r="L78" i="6"/>
  <c r="P78" i="6"/>
  <c r="H78" i="6"/>
  <c r="O62" i="6"/>
  <c r="P62" i="6"/>
  <c r="Q62" i="6"/>
  <c r="R62" i="6"/>
  <c r="S62" i="6"/>
  <c r="F62" i="6"/>
  <c r="F65" i="6"/>
  <c r="I65" i="6"/>
  <c r="J65" i="6"/>
  <c r="L65" i="6"/>
  <c r="M65" i="6"/>
  <c r="O65" i="6"/>
  <c r="P65" i="6"/>
  <c r="Q65" i="6"/>
  <c r="R65" i="6"/>
  <c r="S65" i="6"/>
  <c r="K63" i="6"/>
  <c r="M63" i="6"/>
  <c r="O63" i="6"/>
  <c r="Q63" i="6"/>
  <c r="R63" i="6"/>
  <c r="S63" i="6"/>
  <c r="I63" i="6"/>
  <c r="J64" i="6"/>
  <c r="L64" i="6"/>
  <c r="M64" i="6"/>
  <c r="O64" i="6"/>
  <c r="P64" i="6"/>
  <c r="Q64" i="6"/>
  <c r="R64" i="6"/>
  <c r="S64" i="6"/>
  <c r="I64" i="6"/>
  <c r="H77" i="6"/>
  <c r="N74" i="6"/>
  <c r="I77" i="6"/>
  <c r="J77" i="6"/>
  <c r="L77" i="6"/>
  <c r="P77" i="6"/>
  <c r="S77" i="6"/>
  <c r="J75" i="6"/>
  <c r="K75" i="6"/>
  <c r="L75" i="6"/>
  <c r="O75" i="6"/>
  <c r="P75" i="6"/>
  <c r="Q75" i="6"/>
  <c r="R75" i="6"/>
  <c r="S75" i="6"/>
  <c r="I74" i="6"/>
  <c r="K74" i="6"/>
  <c r="L74" i="6"/>
  <c r="M74" i="6"/>
  <c r="O74" i="6"/>
  <c r="P74" i="6"/>
  <c r="Q74" i="6"/>
  <c r="R74" i="6"/>
  <c r="S74" i="6"/>
  <c r="I73" i="6"/>
  <c r="J73" i="6"/>
  <c r="K73" i="6"/>
  <c r="L73" i="6"/>
  <c r="M73" i="6"/>
  <c r="O73" i="6"/>
  <c r="P73" i="6"/>
  <c r="Q73" i="6"/>
  <c r="R73" i="6"/>
  <c r="S73" i="6"/>
  <c r="J72" i="6"/>
  <c r="M72" i="6"/>
  <c r="O72" i="6"/>
  <c r="P72" i="6"/>
  <c r="R72" i="6"/>
  <c r="S72" i="6"/>
  <c r="Q70" i="6"/>
  <c r="K70" i="6"/>
  <c r="S68" i="6"/>
  <c r="Q68" i="6"/>
  <c r="Q67" i="6"/>
  <c r="N67" i="6"/>
  <c r="N66" i="6"/>
  <c r="H63" i="6"/>
  <c r="H60" i="6"/>
  <c r="J71" i="6"/>
  <c r="M71" i="6"/>
  <c r="O71" i="6"/>
  <c r="P71" i="6"/>
  <c r="R71" i="6"/>
  <c r="S70" i="6"/>
  <c r="S69" i="6"/>
  <c r="I67" i="6"/>
  <c r="L67" i="6"/>
  <c r="O67" i="6"/>
  <c r="I66" i="6"/>
  <c r="M66" i="6"/>
  <c r="J61" i="6"/>
  <c r="K61" i="6"/>
  <c r="L61" i="6"/>
  <c r="M61" i="6"/>
  <c r="O61" i="6"/>
  <c r="Q61" i="6"/>
  <c r="R61" i="6"/>
  <c r="S61" i="6"/>
  <c r="I60" i="6"/>
  <c r="J60" i="6"/>
  <c r="K60" i="6"/>
  <c r="M60" i="6"/>
  <c r="P60" i="6"/>
  <c r="Q60" i="6"/>
  <c r="R60" i="6"/>
  <c r="S60" i="6"/>
  <c r="I55" i="6"/>
  <c r="M55" i="6"/>
  <c r="O55" i="6"/>
  <c r="Q55" i="6"/>
  <c r="R55" i="6"/>
  <c r="S55" i="6"/>
  <c r="I54" i="6"/>
  <c r="J54" i="6"/>
  <c r="M54" i="6"/>
  <c r="O54" i="6"/>
  <c r="Q54" i="6"/>
  <c r="S54" i="6"/>
  <c r="I53" i="6"/>
  <c r="L53" i="6"/>
  <c r="O53" i="6"/>
  <c r="Q53" i="6"/>
  <c r="R53" i="6"/>
  <c r="J52" i="6"/>
  <c r="L52" i="6"/>
  <c r="M52" i="6"/>
  <c r="N52" i="6"/>
  <c r="P52" i="6"/>
  <c r="Q52" i="6"/>
  <c r="R52" i="6"/>
  <c r="S52" i="6"/>
  <c r="H52" i="6"/>
  <c r="H50" i="6"/>
  <c r="H47" i="6"/>
  <c r="N43" i="6"/>
  <c r="I51" i="6"/>
  <c r="L51" i="6"/>
  <c r="O51" i="6"/>
  <c r="P51" i="6"/>
  <c r="Q51" i="6"/>
  <c r="S51" i="6"/>
  <c r="I50" i="6"/>
  <c r="J50" i="6"/>
  <c r="K50" i="6"/>
  <c r="M50" i="6"/>
  <c r="O50" i="6"/>
  <c r="P50" i="6"/>
  <c r="Q50" i="6"/>
  <c r="R50" i="6"/>
  <c r="S50" i="6"/>
  <c r="J49" i="6"/>
  <c r="L49" i="6"/>
  <c r="O49" i="6"/>
  <c r="P49" i="6"/>
  <c r="R49" i="6"/>
  <c r="S49" i="6"/>
  <c r="I48" i="6"/>
  <c r="K48" i="6"/>
  <c r="L48" i="6"/>
  <c r="M48" i="6"/>
  <c r="O48" i="6"/>
  <c r="Q48" i="6"/>
  <c r="R48" i="6"/>
  <c r="S48" i="6"/>
  <c r="I47" i="6"/>
  <c r="J47" i="6"/>
  <c r="M47" i="6"/>
  <c r="P47" i="6"/>
  <c r="Q47" i="6"/>
  <c r="R47" i="6"/>
  <c r="M46" i="6"/>
  <c r="O46" i="6"/>
  <c r="P46" i="6"/>
  <c r="R46" i="6"/>
  <c r="I45" i="6"/>
  <c r="K45" i="6"/>
  <c r="L45" i="6"/>
  <c r="M45" i="6"/>
  <c r="O45" i="6"/>
  <c r="P45" i="6"/>
  <c r="Q45" i="6"/>
  <c r="S45" i="6"/>
  <c r="J44" i="6"/>
  <c r="K44" i="6"/>
  <c r="L44" i="6"/>
  <c r="M44" i="6"/>
  <c r="P44" i="6"/>
  <c r="Q44" i="6"/>
  <c r="R44" i="6"/>
  <c r="S44" i="6"/>
  <c r="I43" i="6"/>
  <c r="K43" i="6"/>
  <c r="M43" i="6"/>
  <c r="O43" i="6"/>
  <c r="P43" i="6"/>
  <c r="Q43" i="6"/>
  <c r="S43" i="6"/>
  <c r="J42" i="6"/>
  <c r="K42" i="6"/>
  <c r="L42" i="6"/>
  <c r="O42" i="6"/>
  <c r="P42" i="6"/>
  <c r="R42" i="6"/>
  <c r="S42" i="6"/>
  <c r="K41" i="6"/>
  <c r="J41" i="6"/>
  <c r="L41" i="6"/>
  <c r="M41" i="6"/>
  <c r="O41" i="6"/>
  <c r="P41" i="6"/>
  <c r="R41" i="6"/>
  <c r="S41" i="6"/>
  <c r="I41" i="6"/>
  <c r="H41" i="6"/>
  <c r="T91" i="6" l="1"/>
  <c r="T92" i="6"/>
  <c r="L93" i="6"/>
  <c r="H93" i="6"/>
  <c r="N93" i="6"/>
  <c r="T65" i="6"/>
  <c r="P93" i="6"/>
  <c r="J93" i="6"/>
  <c r="R93" i="6"/>
  <c r="T62" i="6"/>
  <c r="K36" i="6"/>
  <c r="M36" i="6"/>
  <c r="N36" i="6"/>
  <c r="P36" i="6"/>
  <c r="Q36" i="6"/>
  <c r="R36" i="6"/>
  <c r="S36" i="6"/>
  <c r="J35" i="6"/>
  <c r="K35" i="6"/>
  <c r="M35" i="6"/>
  <c r="N35" i="6"/>
  <c r="P35" i="6"/>
  <c r="Q35" i="6"/>
  <c r="S35" i="6"/>
  <c r="H35" i="6"/>
  <c r="K33" i="6"/>
  <c r="L33" i="6"/>
  <c r="N33" i="6"/>
  <c r="O33" i="6"/>
  <c r="P33" i="6"/>
  <c r="Q33" i="6"/>
  <c r="R33" i="6"/>
  <c r="S33" i="6"/>
  <c r="I28" i="6"/>
  <c r="L28" i="6"/>
  <c r="I25" i="6"/>
  <c r="J24" i="6"/>
  <c r="P29" i="6"/>
  <c r="Q29" i="6"/>
  <c r="R29" i="6"/>
  <c r="S29" i="6"/>
  <c r="N28" i="6"/>
  <c r="P28" i="6"/>
  <c r="S28" i="6"/>
  <c r="O27" i="6"/>
  <c r="Q27" i="6"/>
  <c r="R27" i="6"/>
  <c r="K26" i="6"/>
  <c r="O26" i="6"/>
  <c r="P26" i="6"/>
  <c r="Q26" i="6"/>
  <c r="R26" i="6"/>
  <c r="S26" i="6"/>
  <c r="J25" i="6"/>
  <c r="K25" i="6"/>
  <c r="M25" i="6"/>
  <c r="N25" i="6"/>
  <c r="O25" i="6"/>
  <c r="P25" i="6"/>
  <c r="Q25" i="6"/>
  <c r="R25" i="6"/>
  <c r="S25" i="6"/>
  <c r="H25" i="6"/>
  <c r="I24" i="6"/>
  <c r="K24" i="6"/>
  <c r="L24" i="6"/>
  <c r="M24" i="6"/>
  <c r="N24" i="6"/>
  <c r="O24" i="6"/>
  <c r="Q24" i="6"/>
  <c r="R24" i="6"/>
  <c r="S24" i="6"/>
  <c r="P23" i="6"/>
  <c r="Q23" i="6"/>
  <c r="R23" i="6"/>
  <c r="S23" i="6"/>
  <c r="I21" i="6"/>
  <c r="L20" i="6"/>
  <c r="I20" i="6"/>
  <c r="Q14" i="6"/>
  <c r="I14" i="6"/>
  <c r="P13" i="6"/>
  <c r="I13" i="6"/>
  <c r="O12" i="6"/>
  <c r="L12" i="6"/>
  <c r="Q11" i="6"/>
  <c r="L11" i="6"/>
  <c r="L22" i="6"/>
  <c r="M22" i="6"/>
  <c r="O22" i="6"/>
  <c r="P22" i="6"/>
  <c r="R22" i="6"/>
  <c r="H22" i="6"/>
  <c r="J21" i="6"/>
  <c r="K21" i="6"/>
  <c r="L21" i="6"/>
  <c r="N21" i="6"/>
  <c r="O21" i="6"/>
  <c r="P21" i="6"/>
  <c r="R21" i="6"/>
  <c r="S21" i="6"/>
  <c r="H21" i="6"/>
  <c r="J20" i="6"/>
  <c r="K20" i="6"/>
  <c r="M20" i="6"/>
  <c r="N20" i="6"/>
  <c r="O20" i="6"/>
  <c r="Q20" i="6"/>
  <c r="R20" i="6"/>
  <c r="S20" i="6"/>
  <c r="H20" i="6"/>
  <c r="L19" i="6"/>
  <c r="M19" i="6"/>
  <c r="N19" i="6"/>
  <c r="P19" i="6"/>
  <c r="Q19" i="6"/>
  <c r="R19" i="6"/>
  <c r="S19" i="6"/>
  <c r="H19" i="6"/>
  <c r="K18" i="6"/>
  <c r="L18" i="6"/>
  <c r="M18" i="6"/>
  <c r="O18" i="6"/>
  <c r="P18" i="6"/>
  <c r="Q18" i="6"/>
  <c r="R18" i="6"/>
  <c r="S18" i="6"/>
  <c r="H18" i="6"/>
  <c r="L17" i="6"/>
  <c r="M17" i="6"/>
  <c r="N17" i="6"/>
  <c r="O17" i="6"/>
  <c r="P17" i="6"/>
  <c r="Q17" i="6"/>
  <c r="R17" i="6"/>
  <c r="S17" i="6"/>
  <c r="I16" i="6"/>
  <c r="M16" i="6"/>
  <c r="N16" i="6"/>
  <c r="O16" i="6"/>
  <c r="P16" i="6"/>
  <c r="Q16" i="6"/>
  <c r="R16" i="6"/>
  <c r="S16" i="6"/>
  <c r="L15" i="6"/>
  <c r="M15" i="6"/>
  <c r="N15" i="6"/>
  <c r="O15" i="6"/>
  <c r="P15" i="6"/>
  <c r="Q15" i="6"/>
  <c r="R15" i="6"/>
  <c r="S15" i="6"/>
  <c r="J14" i="6"/>
  <c r="L14" i="6"/>
  <c r="M14" i="6"/>
  <c r="O14" i="6"/>
  <c r="P14" i="6"/>
  <c r="R14" i="6"/>
  <c r="S14" i="6"/>
  <c r="H14" i="6"/>
  <c r="H10" i="6"/>
  <c r="M8" i="6"/>
  <c r="I8" i="6"/>
  <c r="H7" i="6"/>
  <c r="I7" i="6"/>
  <c r="J7" i="6"/>
  <c r="K7" i="6"/>
  <c r="L7" i="6"/>
  <c r="N7" i="6"/>
  <c r="O7" i="6"/>
  <c r="P7" i="6"/>
  <c r="Q7" i="6"/>
  <c r="S7" i="6"/>
  <c r="J13" i="6"/>
  <c r="K13" i="6"/>
  <c r="L13" i="6"/>
  <c r="M13" i="6"/>
  <c r="O13" i="6"/>
  <c r="Q13" i="6"/>
  <c r="R13" i="6"/>
  <c r="H13" i="6"/>
  <c r="I12" i="6"/>
  <c r="K12" i="6"/>
  <c r="M12" i="6"/>
  <c r="N12" i="6"/>
  <c r="P12" i="6"/>
  <c r="Q12" i="6"/>
  <c r="R12" i="6"/>
  <c r="S12" i="6"/>
  <c r="I11" i="6"/>
  <c r="K11" i="6"/>
  <c r="M11" i="6"/>
  <c r="N11" i="6"/>
  <c r="O11" i="6"/>
  <c r="P11" i="6"/>
  <c r="R11" i="6"/>
  <c r="S11" i="6"/>
  <c r="K10" i="6"/>
  <c r="N10" i="6"/>
  <c r="R10" i="6"/>
  <c r="S10" i="6"/>
  <c r="J8" i="6"/>
  <c r="K8" i="6"/>
  <c r="L8" i="6"/>
  <c r="N8" i="6"/>
  <c r="O8" i="6"/>
  <c r="P8" i="6"/>
  <c r="R8" i="6"/>
  <c r="S8" i="6"/>
  <c r="H8" i="6"/>
  <c r="K6" i="6"/>
  <c r="M6" i="6"/>
  <c r="O6" i="6"/>
  <c r="Q6" i="6"/>
  <c r="S6" i="6"/>
  <c r="I6" i="6"/>
  <c r="H6" i="6"/>
  <c r="H30" i="6" l="1"/>
  <c r="L30" i="6"/>
  <c r="K37" i="6"/>
  <c r="N37" i="6"/>
  <c r="I37" i="6"/>
  <c r="R37" i="6"/>
  <c r="M37" i="6"/>
  <c r="O37" i="6"/>
  <c r="H37" i="6"/>
  <c r="L37" i="6"/>
  <c r="S37" i="6"/>
  <c r="J37" i="6"/>
  <c r="Q37" i="6"/>
  <c r="P37" i="6"/>
  <c r="P30" i="6"/>
  <c r="I50" i="1"/>
  <c r="J50" i="1"/>
  <c r="H50" i="1"/>
  <c r="I49" i="1"/>
  <c r="J49" i="1"/>
  <c r="K49" i="1"/>
  <c r="J48" i="1"/>
  <c r="I44" i="1"/>
  <c r="K43" i="1"/>
  <c r="K42" i="1"/>
  <c r="J37" i="1"/>
  <c r="K37" i="1"/>
  <c r="K36" i="1"/>
  <c r="L36" i="1"/>
  <c r="J25" i="1"/>
  <c r="K25" i="1"/>
  <c r="J24" i="1"/>
  <c r="K24" i="1"/>
  <c r="H24" i="1"/>
  <c r="I21" i="1"/>
  <c r="J21" i="1"/>
  <c r="I20" i="1"/>
  <c r="J20" i="1"/>
  <c r="H19" i="1"/>
  <c r="H18" i="1"/>
  <c r="L16" i="1"/>
  <c r="M16" i="1"/>
  <c r="N16" i="1"/>
  <c r="O16" i="1"/>
  <c r="P16" i="1"/>
  <c r="Q16" i="1"/>
  <c r="R16" i="1"/>
  <c r="J15" i="1"/>
  <c r="K15" i="1"/>
  <c r="H14" i="1"/>
  <c r="J13" i="1"/>
  <c r="K13" i="1"/>
  <c r="L11" i="1"/>
  <c r="I7" i="1"/>
  <c r="I140" i="7"/>
  <c r="J140" i="7"/>
  <c r="K140" i="7"/>
  <c r="L140" i="7"/>
  <c r="I133" i="7"/>
  <c r="I136" i="7" s="1"/>
  <c r="J133" i="7"/>
  <c r="J136" i="7" s="1"/>
  <c r="L133" i="7"/>
  <c r="L136" i="7" s="1"/>
  <c r="Q133" i="7"/>
  <c r="Q136" i="7" s="1"/>
  <c r="R133" i="7"/>
  <c r="R136" i="7" s="1"/>
  <c r="S133" i="7"/>
  <c r="S136" i="7" s="1"/>
  <c r="J129" i="7"/>
  <c r="K129" i="7"/>
  <c r="L129" i="7"/>
  <c r="M129" i="7"/>
  <c r="N129" i="7"/>
  <c r="O129" i="7"/>
  <c r="P129" i="7"/>
  <c r="Q129" i="7"/>
  <c r="J128" i="7"/>
  <c r="L128" i="7"/>
  <c r="M128" i="7"/>
  <c r="N128" i="7"/>
  <c r="O128" i="7"/>
  <c r="P128" i="7"/>
  <c r="Q128" i="7"/>
  <c r="R128" i="7"/>
  <c r="I124" i="7"/>
  <c r="J124" i="7"/>
  <c r="K124" i="7"/>
  <c r="L124" i="7"/>
  <c r="M124" i="7"/>
  <c r="N124" i="7"/>
  <c r="O124" i="7"/>
  <c r="P124" i="7"/>
  <c r="Q124" i="7"/>
  <c r="R124" i="7"/>
  <c r="S124" i="7"/>
  <c r="I116" i="7"/>
  <c r="K116" i="7"/>
  <c r="N116" i="7"/>
  <c r="O116" i="7"/>
  <c r="Q116" i="7"/>
  <c r="R116" i="7"/>
  <c r="S116" i="7"/>
  <c r="K98" i="7"/>
  <c r="L98" i="7"/>
  <c r="M98" i="7"/>
  <c r="N98" i="7"/>
  <c r="O98" i="7"/>
  <c r="P98" i="7"/>
  <c r="Q98" i="7"/>
  <c r="R98" i="7"/>
  <c r="S98" i="7"/>
  <c r="K92" i="7"/>
  <c r="K95" i="7" s="1"/>
  <c r="N92" i="7"/>
  <c r="N95" i="7" s="1"/>
  <c r="O92" i="7"/>
  <c r="O95" i="7" s="1"/>
  <c r="P92" i="7"/>
  <c r="P95" i="7" s="1"/>
  <c r="Q92" i="7"/>
  <c r="Q95" i="7" s="1"/>
  <c r="R92" i="7"/>
  <c r="R95" i="7" s="1"/>
  <c r="S92" i="7"/>
  <c r="S95" i="7" s="1"/>
  <c r="K88" i="7"/>
  <c r="L88" i="7"/>
  <c r="M88" i="7"/>
  <c r="O88" i="7"/>
  <c r="P88" i="7"/>
  <c r="R88" i="7"/>
  <c r="S88" i="7"/>
  <c r="J30" i="7"/>
  <c r="K30" i="7"/>
  <c r="L30" i="7"/>
  <c r="N30" i="7"/>
  <c r="O30" i="7"/>
  <c r="Q30" i="7"/>
  <c r="S30" i="7"/>
  <c r="I17" i="7"/>
  <c r="J17" i="7"/>
  <c r="I96" i="6"/>
  <c r="E16" i="4" s="1"/>
  <c r="J96" i="6"/>
  <c r="F16" i="4" s="1"/>
  <c r="K96" i="6"/>
  <c r="G16" i="4" s="1"/>
  <c r="L96" i="6"/>
  <c r="H16" i="4" s="1"/>
  <c r="M96" i="6"/>
  <c r="I16" i="4" s="1"/>
  <c r="N96" i="6"/>
  <c r="J16" i="4" s="1"/>
  <c r="O96" i="6"/>
  <c r="K16" i="4" s="1"/>
  <c r="P96" i="6"/>
  <c r="L16" i="4" s="1"/>
  <c r="Q96" i="6"/>
  <c r="M16" i="4" s="1"/>
  <c r="R96" i="6"/>
  <c r="N16" i="4" s="1"/>
  <c r="S96" i="6"/>
  <c r="O16" i="4" s="1"/>
  <c r="I90" i="6"/>
  <c r="I93" i="6" s="1"/>
  <c r="K93" i="6"/>
  <c r="M90" i="6"/>
  <c r="M93" i="6" s="1"/>
  <c r="O90" i="6"/>
  <c r="O93" i="6" s="1"/>
  <c r="Q93" i="6"/>
  <c r="S90" i="6"/>
  <c r="S93" i="6" s="1"/>
  <c r="I5" i="6"/>
  <c r="I30" i="6" s="1"/>
  <c r="J5" i="6"/>
  <c r="J30" i="6" s="1"/>
  <c r="K5" i="6"/>
  <c r="K30" i="6" s="1"/>
  <c r="M5" i="6"/>
  <c r="M30" i="6" s="1"/>
  <c r="N5" i="6"/>
  <c r="N30" i="6" s="1"/>
  <c r="O5" i="6"/>
  <c r="O30" i="6" s="1"/>
  <c r="Q5" i="6"/>
  <c r="Q30" i="6" s="1"/>
  <c r="R5" i="6"/>
  <c r="R30" i="6" s="1"/>
  <c r="S5" i="6"/>
  <c r="S30" i="6" s="1"/>
  <c r="P16" i="4" l="1"/>
  <c r="J33" i="23"/>
  <c r="K33" i="23"/>
  <c r="L33" i="23"/>
  <c r="M33" i="23"/>
  <c r="N33" i="23"/>
  <c r="O33" i="23"/>
  <c r="P33" i="23"/>
  <c r="Q33" i="23"/>
  <c r="K106" i="7" l="1"/>
  <c r="N106" i="7"/>
  <c r="Q106" i="7"/>
  <c r="S106" i="7"/>
  <c r="I106" i="7"/>
  <c r="H140" i="7"/>
  <c r="H116" i="7"/>
  <c r="I139" i="7"/>
  <c r="J139" i="7"/>
  <c r="H139" i="7"/>
  <c r="K50" i="1" l="1"/>
  <c r="L50" i="1"/>
  <c r="M50" i="1"/>
  <c r="N50" i="1"/>
  <c r="O50" i="1"/>
  <c r="P50" i="1"/>
  <c r="Q50" i="1"/>
  <c r="R50" i="1"/>
  <c r="S50" i="1"/>
  <c r="F50" i="1"/>
  <c r="L7" i="1"/>
  <c r="K7" i="1"/>
  <c r="J7" i="1"/>
  <c r="H7" i="1"/>
  <c r="T50" i="1" l="1"/>
  <c r="M140" i="7"/>
  <c r="N140" i="7"/>
  <c r="O140" i="7"/>
  <c r="P140" i="7"/>
  <c r="Q140" i="7"/>
  <c r="R140" i="7"/>
  <c r="S140" i="7"/>
  <c r="I44" i="7"/>
  <c r="J44" i="7"/>
  <c r="K44" i="7"/>
  <c r="L44" i="7"/>
  <c r="M44" i="7"/>
  <c r="O44" i="7"/>
  <c r="P44" i="7"/>
  <c r="Q44" i="7"/>
  <c r="R44" i="7"/>
  <c r="S44" i="7"/>
  <c r="J43" i="7"/>
  <c r="L43" i="7"/>
  <c r="M43" i="7"/>
  <c r="N43" i="7"/>
  <c r="O43" i="7"/>
  <c r="P43" i="7"/>
  <c r="Q43" i="7"/>
  <c r="R43" i="7"/>
  <c r="S43" i="7"/>
  <c r="K42" i="7"/>
  <c r="L42" i="7"/>
  <c r="M42" i="7"/>
  <c r="N42" i="7"/>
  <c r="O42" i="7"/>
  <c r="P42" i="7"/>
  <c r="Q42" i="7"/>
  <c r="R42" i="7"/>
  <c r="S42" i="7"/>
  <c r="H32" i="7"/>
  <c r="F32" i="7"/>
  <c r="F33" i="7"/>
  <c r="F31" i="7"/>
  <c r="T31" i="7" l="1"/>
  <c r="T32" i="7"/>
  <c r="T19" i="6"/>
  <c r="F19" i="6"/>
  <c r="F58" i="7"/>
  <c r="T58" i="7" l="1"/>
  <c r="L49" i="1"/>
  <c r="M49" i="1"/>
  <c r="N49" i="1"/>
  <c r="O49" i="1"/>
  <c r="P49" i="1"/>
  <c r="Q49" i="1"/>
  <c r="R49" i="1"/>
  <c r="S49" i="1"/>
  <c r="I25" i="1"/>
  <c r="L25" i="1"/>
  <c r="M25" i="1"/>
  <c r="N25" i="1"/>
  <c r="O25" i="1"/>
  <c r="P25" i="1"/>
  <c r="Q25" i="1"/>
  <c r="R25" i="1"/>
  <c r="S25" i="1"/>
  <c r="I15" i="1"/>
  <c r="L15" i="1"/>
  <c r="M15" i="1"/>
  <c r="N15" i="1"/>
  <c r="O15" i="1"/>
  <c r="P15" i="1"/>
  <c r="Q15" i="1"/>
  <c r="R15" i="1"/>
  <c r="S15" i="1"/>
  <c r="H15" i="1"/>
  <c r="F15" i="1"/>
  <c r="I14" i="1"/>
  <c r="J14" i="1"/>
  <c r="K14" i="1"/>
  <c r="L14" i="1"/>
  <c r="M14" i="1"/>
  <c r="N14" i="1"/>
  <c r="O14" i="1"/>
  <c r="P14" i="1"/>
  <c r="Q14" i="1"/>
  <c r="R14" i="1"/>
  <c r="S14" i="1"/>
  <c r="F14" i="1"/>
  <c r="L13" i="1"/>
  <c r="M13" i="1"/>
  <c r="N13" i="1"/>
  <c r="O13" i="1"/>
  <c r="P13" i="1"/>
  <c r="Q13" i="1"/>
  <c r="R13" i="1"/>
  <c r="S13" i="1"/>
  <c r="F13" i="1"/>
  <c r="T18" i="6"/>
  <c r="F18" i="6"/>
  <c r="K48" i="1"/>
  <c r="L48" i="1"/>
  <c r="M48" i="1"/>
  <c r="N48" i="1"/>
  <c r="O48" i="1"/>
  <c r="P48" i="1"/>
  <c r="Q48" i="1"/>
  <c r="R48" i="1"/>
  <c r="S48" i="1"/>
  <c r="F48" i="1"/>
  <c r="L31" i="1"/>
  <c r="I32" i="1"/>
  <c r="J32" i="1"/>
  <c r="K32" i="1"/>
  <c r="L32" i="1"/>
  <c r="M32" i="1"/>
  <c r="N32" i="1"/>
  <c r="O32" i="1"/>
  <c r="P32" i="1"/>
  <c r="Q32" i="1"/>
  <c r="R32" i="1"/>
  <c r="S32" i="1"/>
  <c r="I31" i="1"/>
  <c r="J31" i="1"/>
  <c r="K31" i="1"/>
  <c r="M31" i="1"/>
  <c r="N31" i="1"/>
  <c r="O31" i="1"/>
  <c r="P31" i="1"/>
  <c r="Q31" i="1"/>
  <c r="R31" i="1"/>
  <c r="S31" i="1"/>
  <c r="F31" i="1"/>
  <c r="F32" i="1"/>
  <c r="T14" i="1" l="1"/>
  <c r="T15" i="1"/>
  <c r="T13" i="1"/>
  <c r="T31" i="1"/>
  <c r="T48" i="1"/>
  <c r="T32" i="1"/>
  <c r="I43" i="1"/>
  <c r="J43" i="1"/>
  <c r="L43" i="1"/>
  <c r="M43" i="1"/>
  <c r="N43" i="1"/>
  <c r="O43" i="1"/>
  <c r="P43" i="1"/>
  <c r="Q43" i="1"/>
  <c r="R43" i="1"/>
  <c r="S43" i="1"/>
  <c r="H43" i="1"/>
  <c r="F43" i="1"/>
  <c r="I17" i="1"/>
  <c r="J17" i="1"/>
  <c r="L17" i="1"/>
  <c r="M17" i="1"/>
  <c r="N17" i="1"/>
  <c r="O17" i="1"/>
  <c r="P17" i="1"/>
  <c r="Q17" i="1"/>
  <c r="R17" i="1"/>
  <c r="S17" i="1"/>
  <c r="H17" i="1"/>
  <c r="F17" i="1"/>
  <c r="I30" i="1"/>
  <c r="J30" i="1"/>
  <c r="K30" i="1"/>
  <c r="L30" i="1"/>
  <c r="M30" i="1"/>
  <c r="N30" i="1"/>
  <c r="O30" i="1"/>
  <c r="P30" i="1"/>
  <c r="Q30" i="1"/>
  <c r="R30" i="1"/>
  <c r="S30" i="1"/>
  <c r="F30" i="1"/>
  <c r="J16" i="1"/>
  <c r="S16" i="1"/>
  <c r="H16" i="1"/>
  <c r="F16" i="1"/>
  <c r="T30" i="1" l="1"/>
  <c r="T43" i="1"/>
  <c r="T17" i="1"/>
  <c r="T16" i="1"/>
  <c r="K21" i="1" l="1"/>
  <c r="L21" i="1"/>
  <c r="M21" i="1"/>
  <c r="N21" i="1"/>
  <c r="O21" i="1"/>
  <c r="P21" i="1"/>
  <c r="Q21" i="1"/>
  <c r="R21" i="1"/>
  <c r="S21" i="1"/>
  <c r="H21" i="1"/>
  <c r="F21" i="1"/>
  <c r="K20" i="1"/>
  <c r="L20" i="1"/>
  <c r="M20" i="1"/>
  <c r="N20" i="1"/>
  <c r="O20" i="1"/>
  <c r="P20" i="1"/>
  <c r="Q20" i="1"/>
  <c r="R20" i="1"/>
  <c r="S20" i="1"/>
  <c r="H20" i="1"/>
  <c r="F20" i="1"/>
  <c r="T20" i="1" l="1"/>
  <c r="T21" i="1"/>
  <c r="I29" i="1" l="1"/>
  <c r="J29" i="1"/>
  <c r="K29" i="1"/>
  <c r="L29" i="1"/>
  <c r="M29" i="1"/>
  <c r="N29" i="1"/>
  <c r="O29" i="1"/>
  <c r="P29" i="1"/>
  <c r="Q29" i="1"/>
  <c r="R29" i="1"/>
  <c r="S29" i="1"/>
  <c r="F29" i="1"/>
  <c r="L24" i="1"/>
  <c r="M24" i="1"/>
  <c r="N24" i="1"/>
  <c r="O24" i="1"/>
  <c r="P24" i="1"/>
  <c r="Q24" i="1"/>
  <c r="R24" i="1"/>
  <c r="S24" i="1"/>
  <c r="I24" i="1"/>
  <c r="F24" i="1"/>
  <c r="I19" i="1"/>
  <c r="J19" i="1"/>
  <c r="K19" i="1"/>
  <c r="L19" i="1"/>
  <c r="M19" i="1"/>
  <c r="N19" i="1"/>
  <c r="O19" i="1"/>
  <c r="P19" i="1"/>
  <c r="Q19" i="1"/>
  <c r="R19" i="1"/>
  <c r="S19" i="1"/>
  <c r="F19" i="1"/>
  <c r="L12" i="1"/>
  <c r="M12" i="1"/>
  <c r="N12" i="1"/>
  <c r="O12" i="1"/>
  <c r="P12" i="1"/>
  <c r="Q12" i="1"/>
  <c r="R12" i="1"/>
  <c r="S12" i="1"/>
  <c r="F12" i="1"/>
  <c r="J41" i="1"/>
  <c r="K41" i="1"/>
  <c r="L41" i="1"/>
  <c r="M41" i="1"/>
  <c r="N41" i="1"/>
  <c r="O41" i="1"/>
  <c r="P41" i="1"/>
  <c r="Q41" i="1"/>
  <c r="R41" i="1"/>
  <c r="S41" i="1"/>
  <c r="H41" i="1"/>
  <c r="F41" i="1"/>
  <c r="J18" i="1"/>
  <c r="K18" i="1"/>
  <c r="L18" i="1"/>
  <c r="M18" i="1"/>
  <c r="N18" i="1"/>
  <c r="O18" i="1"/>
  <c r="P18" i="1"/>
  <c r="Q18" i="1"/>
  <c r="R18" i="1"/>
  <c r="S18" i="1"/>
  <c r="I18" i="1"/>
  <c r="F18" i="1"/>
  <c r="K22" i="1"/>
  <c r="L22" i="1"/>
  <c r="M22" i="1"/>
  <c r="N22" i="1"/>
  <c r="O22" i="1"/>
  <c r="P22" i="1"/>
  <c r="Q22" i="1"/>
  <c r="R22" i="1"/>
  <c r="S22" i="1"/>
  <c r="I23" i="1"/>
  <c r="J23" i="1"/>
  <c r="K23" i="1"/>
  <c r="L23" i="1"/>
  <c r="M23" i="1"/>
  <c r="N23" i="1"/>
  <c r="O23" i="1"/>
  <c r="P23" i="1"/>
  <c r="Q23" i="1"/>
  <c r="R23" i="1"/>
  <c r="S23" i="1"/>
  <c r="F23" i="1"/>
  <c r="T24" i="1" l="1"/>
  <c r="T19" i="1"/>
  <c r="T29" i="1"/>
  <c r="T18" i="1"/>
  <c r="T12" i="1"/>
  <c r="T23" i="1"/>
  <c r="T41" i="1"/>
  <c r="H88" i="7" l="1"/>
  <c r="H70" i="7"/>
  <c r="F69" i="7"/>
  <c r="T69" i="7" l="1"/>
  <c r="T55" i="7"/>
  <c r="J51" i="7" l="1"/>
  <c r="F27" i="23" l="1"/>
  <c r="F30" i="23" s="1"/>
  <c r="Q27" i="23"/>
  <c r="Q30" i="23" s="1"/>
  <c r="P27" i="23"/>
  <c r="P30" i="23" s="1"/>
  <c r="O27" i="23"/>
  <c r="O30" i="23" s="1"/>
  <c r="N27" i="23"/>
  <c r="N30" i="23" s="1"/>
  <c r="M27" i="23"/>
  <c r="M30" i="23" s="1"/>
  <c r="L27" i="23"/>
  <c r="L30" i="23" s="1"/>
  <c r="J27" i="23"/>
  <c r="J30" i="23" s="1"/>
  <c r="Q16" i="23"/>
  <c r="P16" i="23"/>
  <c r="N16" i="23"/>
  <c r="M16" i="23"/>
  <c r="K16" i="23"/>
  <c r="J16" i="23"/>
  <c r="J7" i="23"/>
  <c r="J11" i="23" s="1"/>
  <c r="K7" i="23"/>
  <c r="K11" i="23" s="1"/>
  <c r="L7" i="23"/>
  <c r="L11" i="23" s="1"/>
  <c r="M7" i="23"/>
  <c r="M11" i="23" s="1"/>
  <c r="N7" i="23"/>
  <c r="N11" i="23" s="1"/>
  <c r="O7" i="23"/>
  <c r="O11" i="23" s="1"/>
  <c r="P7" i="23"/>
  <c r="P11" i="23" s="1"/>
  <c r="Q7" i="23"/>
  <c r="Q11" i="23" s="1"/>
  <c r="F55" i="7" l="1"/>
  <c r="G59" i="7" s="1"/>
  <c r="F22" i="7" l="1"/>
  <c r="I10" i="7"/>
  <c r="E22" i="4" s="1"/>
  <c r="J10" i="7"/>
  <c r="F22" i="4" s="1"/>
  <c r="K10" i="7"/>
  <c r="G22" i="4" s="1"/>
  <c r="L10" i="7"/>
  <c r="H22" i="4" s="1"/>
  <c r="M10" i="7"/>
  <c r="I22" i="4" s="1"/>
  <c r="O10" i="7"/>
  <c r="K22" i="4" s="1"/>
  <c r="P10" i="7"/>
  <c r="L22" i="4" s="1"/>
  <c r="S10" i="7"/>
  <c r="O22" i="4" s="1"/>
  <c r="H10" i="7"/>
  <c r="D22" i="4" s="1"/>
  <c r="Q10" i="7"/>
  <c r="M22" i="4" s="1"/>
  <c r="R10" i="7"/>
  <c r="N22" i="4" s="1"/>
  <c r="N10" i="7"/>
  <c r="J22" i="4" s="1"/>
  <c r="F9" i="7"/>
  <c r="G10" i="7" s="1"/>
  <c r="P22" i="4" l="1"/>
  <c r="C22" i="2"/>
  <c r="C22" i="4"/>
  <c r="T22" i="7"/>
  <c r="T9" i="7"/>
  <c r="T10" i="7" s="1"/>
  <c r="F90" i="6" l="1"/>
  <c r="G93" i="6" s="1"/>
  <c r="F76" i="6"/>
  <c r="F77" i="6"/>
  <c r="F75" i="6"/>
  <c r="F73" i="6"/>
  <c r="F74" i="6"/>
  <c r="T76" i="6" l="1"/>
  <c r="T90" i="6"/>
  <c r="T93" i="6" s="1"/>
  <c r="T78" i="6"/>
  <c r="F78" i="6" s="1"/>
  <c r="T77" i="6"/>
  <c r="T75" i="6"/>
  <c r="T73" i="6"/>
  <c r="T74" i="6"/>
  <c r="F71" i="6"/>
  <c r="F72" i="6"/>
  <c r="F69" i="6"/>
  <c r="F70" i="6"/>
  <c r="F68" i="6"/>
  <c r="F67" i="6"/>
  <c r="F66" i="6"/>
  <c r="T72" i="6" l="1"/>
  <c r="T66" i="6"/>
  <c r="T67" i="6"/>
  <c r="T71" i="6"/>
  <c r="T70" i="6"/>
  <c r="T69" i="6"/>
  <c r="T68" i="6"/>
  <c r="F55" i="6" l="1"/>
  <c r="F54" i="6"/>
  <c r="F51" i="6"/>
  <c r="F52" i="6"/>
  <c r="F53" i="6"/>
  <c r="T55" i="6" l="1"/>
  <c r="T52" i="6"/>
  <c r="T54" i="6"/>
  <c r="T53" i="6"/>
  <c r="T51" i="6"/>
  <c r="I40" i="6" l="1"/>
  <c r="L40" i="6"/>
  <c r="N40" i="6"/>
  <c r="Q40" i="6"/>
  <c r="R40" i="6"/>
  <c r="S40" i="6"/>
  <c r="F13" i="6" l="1"/>
  <c r="T13" i="6" l="1"/>
  <c r="F44" i="7" l="1"/>
  <c r="F42" i="6"/>
  <c r="F43" i="6"/>
  <c r="F44" i="6"/>
  <c r="F45" i="6"/>
  <c r="F46" i="6"/>
  <c r="F26" i="6"/>
  <c r="F27" i="6"/>
  <c r="F28" i="6"/>
  <c r="F29" i="6"/>
  <c r="T44" i="7" l="1"/>
  <c r="T46" i="6"/>
  <c r="T44" i="6"/>
  <c r="T43" i="6"/>
  <c r="T42" i="6"/>
  <c r="T45" i="6"/>
  <c r="T26" i="6"/>
  <c r="T28" i="6"/>
  <c r="T27" i="6"/>
  <c r="T29" i="6"/>
  <c r="F22" i="6" l="1"/>
  <c r="F23" i="6"/>
  <c r="F24" i="6"/>
  <c r="F25" i="6"/>
  <c r="F16" i="6"/>
  <c r="F17" i="6"/>
  <c r="F20" i="6"/>
  <c r="F21" i="6"/>
  <c r="T24" i="6" l="1"/>
  <c r="T25" i="6"/>
  <c r="T23" i="6"/>
  <c r="T22" i="6"/>
  <c r="T20" i="6"/>
  <c r="T21" i="6"/>
  <c r="T16" i="6"/>
  <c r="T17" i="6"/>
  <c r="F6" i="6" l="1"/>
  <c r="F7" i="6"/>
  <c r="T7" i="6" l="1"/>
  <c r="T6" i="6"/>
  <c r="E29" i="24"/>
  <c r="E33" i="24"/>
  <c r="E28" i="24"/>
  <c r="E22" i="24"/>
  <c r="I144" i="7" l="1"/>
  <c r="I56" i="1"/>
  <c r="I55" i="1"/>
  <c r="J54" i="1"/>
  <c r="K54" i="1"/>
  <c r="L54" i="1"/>
  <c r="M54" i="1"/>
  <c r="N54" i="1"/>
  <c r="O54" i="1"/>
  <c r="P54" i="1"/>
  <c r="Q54" i="1"/>
  <c r="R54" i="1"/>
  <c r="S54" i="1"/>
  <c r="H54" i="1"/>
  <c r="H11" i="1"/>
  <c r="K144" i="7"/>
  <c r="L144" i="7"/>
  <c r="M144" i="7"/>
  <c r="N144" i="7"/>
  <c r="J144" i="7"/>
  <c r="K139" i="7"/>
  <c r="L139" i="7"/>
  <c r="M139" i="7"/>
  <c r="M120" i="7"/>
  <c r="H120" i="7"/>
  <c r="L47" i="7"/>
  <c r="M45" i="7"/>
  <c r="L45" i="7"/>
  <c r="R120" i="7"/>
  <c r="I110" i="7"/>
  <c r="I113" i="7" s="1"/>
  <c r="J110" i="7"/>
  <c r="J113" i="7" s="1"/>
  <c r="K113" i="7"/>
  <c r="L110" i="7"/>
  <c r="L113" i="7" s="1"/>
  <c r="M110" i="7"/>
  <c r="M113" i="7" s="1"/>
  <c r="N110" i="7"/>
  <c r="N113" i="7" s="1"/>
  <c r="O110" i="7"/>
  <c r="O113" i="7" s="1"/>
  <c r="P110" i="7"/>
  <c r="P113" i="7" s="1"/>
  <c r="Q110" i="7"/>
  <c r="Q113" i="7" s="1"/>
  <c r="R110" i="7"/>
  <c r="R113" i="7" s="1"/>
  <c r="S110" i="7"/>
  <c r="S113" i="7" s="1"/>
  <c r="Q84" i="7"/>
  <c r="R84" i="7"/>
  <c r="P84" i="7"/>
  <c r="J84" i="7"/>
  <c r="K84" i="7"/>
  <c r="L84" i="7"/>
  <c r="M84" i="7"/>
  <c r="N84" i="7"/>
  <c r="I84" i="7"/>
  <c r="H84" i="7"/>
  <c r="I47" i="7"/>
  <c r="J47" i="7"/>
  <c r="K47" i="7"/>
  <c r="M47" i="7"/>
  <c r="N47" i="7"/>
  <c r="O47" i="7"/>
  <c r="P47" i="7"/>
  <c r="Q47" i="7"/>
  <c r="R47" i="7"/>
  <c r="S47" i="7"/>
  <c r="I46" i="7"/>
  <c r="J46" i="7"/>
  <c r="L46" i="7"/>
  <c r="P46" i="7"/>
  <c r="Q46" i="7"/>
  <c r="R46" i="7"/>
  <c r="S46" i="7"/>
  <c r="I45" i="7"/>
  <c r="J45" i="7"/>
  <c r="K45" i="7"/>
  <c r="N45" i="7"/>
  <c r="O45" i="7"/>
  <c r="P45" i="7"/>
  <c r="Q45" i="7"/>
  <c r="R45" i="7"/>
  <c r="S45" i="7"/>
  <c r="H30" i="7" l="1"/>
  <c r="T33" i="6" l="1"/>
  <c r="T33" i="7"/>
  <c r="F12" i="6" l="1"/>
  <c r="R16" i="23" l="1"/>
  <c r="F48" i="6" l="1"/>
  <c r="F49" i="6"/>
  <c r="F33" i="6"/>
  <c r="T48" i="6" l="1"/>
  <c r="T49" i="6"/>
  <c r="E21" i="24" l="1"/>
  <c r="E23" i="24"/>
  <c r="E20" i="24"/>
  <c r="F43" i="7" l="1"/>
  <c r="H43" i="7"/>
  <c r="T43" i="7" l="1"/>
  <c r="Q34" i="23"/>
  <c r="P34" i="23"/>
  <c r="O34" i="23"/>
  <c r="N34" i="23"/>
  <c r="M34" i="23"/>
  <c r="L34" i="23"/>
  <c r="K34" i="23"/>
  <c r="J34" i="23"/>
  <c r="I34" i="23"/>
  <c r="H34" i="23"/>
  <c r="G34" i="23"/>
  <c r="F33" i="23"/>
  <c r="F34" i="23" s="1"/>
  <c r="E34" i="23"/>
  <c r="E39" i="23" l="1"/>
  <c r="R33" i="23"/>
  <c r="R34" i="23" s="1"/>
  <c r="R7" i="23"/>
  <c r="R11" i="23" s="1"/>
  <c r="H55" i="1" l="1"/>
  <c r="J55" i="1"/>
  <c r="K55" i="1"/>
  <c r="L55" i="1"/>
  <c r="M55" i="1"/>
  <c r="N55" i="1"/>
  <c r="O55" i="1"/>
  <c r="P55" i="1"/>
  <c r="Q55" i="1"/>
  <c r="R55" i="1"/>
  <c r="S55" i="1"/>
  <c r="I148" i="7" l="1"/>
  <c r="S68" i="7"/>
  <c r="S70" i="7" s="1"/>
  <c r="P68" i="7"/>
  <c r="P70" i="7" s="1"/>
  <c r="L68" i="7"/>
  <c r="L70" i="7" s="1"/>
  <c r="F51" i="7"/>
  <c r="K51" i="7"/>
  <c r="L51" i="7"/>
  <c r="M51" i="7"/>
  <c r="N51" i="7"/>
  <c r="O51" i="7"/>
  <c r="P51" i="7"/>
  <c r="Q51" i="7"/>
  <c r="R51" i="7"/>
  <c r="S51" i="7"/>
  <c r="T51" i="7" l="1"/>
  <c r="I52" i="7" l="1"/>
  <c r="J52" i="7"/>
  <c r="K52" i="7"/>
  <c r="L52" i="7"/>
  <c r="M52" i="7"/>
  <c r="N52" i="7"/>
  <c r="O52" i="7"/>
  <c r="P52" i="7"/>
  <c r="Q52" i="7"/>
  <c r="R52" i="7"/>
  <c r="S52" i="7"/>
  <c r="H52" i="7"/>
  <c r="G52" i="7"/>
  <c r="F46" i="7"/>
  <c r="T46" i="7" l="1"/>
  <c r="T52" i="7"/>
  <c r="T60" i="6"/>
  <c r="F61" i="6"/>
  <c r="F60" i="6"/>
  <c r="T61" i="6" l="1"/>
  <c r="F64" i="6"/>
  <c r="T64" i="6" l="1"/>
  <c r="J56" i="1" l="1"/>
  <c r="K56" i="1"/>
  <c r="L56" i="1"/>
  <c r="M56" i="1"/>
  <c r="N56" i="1"/>
  <c r="O56" i="1"/>
  <c r="P56" i="1"/>
  <c r="Q56" i="1"/>
  <c r="R56" i="1"/>
  <c r="S56" i="1"/>
  <c r="I54" i="1"/>
  <c r="J44" i="1"/>
  <c r="K44" i="1"/>
  <c r="L44" i="1"/>
  <c r="M44" i="1"/>
  <c r="N44" i="1"/>
  <c r="O44" i="1"/>
  <c r="P44" i="1"/>
  <c r="Q44" i="1"/>
  <c r="R44" i="1"/>
  <c r="S44" i="1"/>
  <c r="H44" i="1"/>
  <c r="I42" i="1"/>
  <c r="J42" i="1"/>
  <c r="L42" i="1"/>
  <c r="M42" i="1"/>
  <c r="N42" i="1"/>
  <c r="O42" i="1"/>
  <c r="P42" i="1"/>
  <c r="Q42" i="1"/>
  <c r="R42" i="1"/>
  <c r="S42" i="1"/>
  <c r="I37" i="1"/>
  <c r="L37" i="1"/>
  <c r="M37" i="1"/>
  <c r="N37" i="1"/>
  <c r="O37" i="1"/>
  <c r="P37" i="1"/>
  <c r="Q37" i="1"/>
  <c r="R37" i="1"/>
  <c r="S37" i="1"/>
  <c r="I36" i="1"/>
  <c r="J36" i="1"/>
  <c r="M36" i="1"/>
  <c r="N36" i="1"/>
  <c r="O36" i="1"/>
  <c r="P36" i="1"/>
  <c r="Q36" i="1"/>
  <c r="R36" i="1"/>
  <c r="S36" i="1"/>
  <c r="M11" i="1"/>
  <c r="N11" i="1"/>
  <c r="O11" i="1"/>
  <c r="P11" i="1"/>
  <c r="Q11" i="1"/>
  <c r="R11" i="1"/>
  <c r="S11" i="1"/>
  <c r="M7" i="1"/>
  <c r="N7" i="1"/>
  <c r="O7" i="1"/>
  <c r="P7" i="1"/>
  <c r="Q7" i="1"/>
  <c r="R7" i="1"/>
  <c r="S7" i="1"/>
  <c r="J6" i="1"/>
  <c r="K6" i="1"/>
  <c r="L6" i="1"/>
  <c r="M6" i="1"/>
  <c r="N6" i="1"/>
  <c r="O6" i="1"/>
  <c r="P6" i="1"/>
  <c r="Q6" i="1"/>
  <c r="R6" i="1"/>
  <c r="S6" i="1"/>
  <c r="J5" i="1"/>
  <c r="K5" i="1"/>
  <c r="L5" i="1"/>
  <c r="M5" i="1"/>
  <c r="N5" i="1"/>
  <c r="O5" i="1"/>
  <c r="P5" i="1"/>
  <c r="Q5" i="1"/>
  <c r="R5" i="1"/>
  <c r="S5" i="1"/>
  <c r="F45" i="7"/>
  <c r="H45" i="7"/>
  <c r="F42" i="7"/>
  <c r="O144" i="7"/>
  <c r="P144" i="7"/>
  <c r="Q144" i="7"/>
  <c r="R144" i="7"/>
  <c r="S144" i="7"/>
  <c r="N139" i="7"/>
  <c r="O139" i="7"/>
  <c r="P139" i="7"/>
  <c r="Q139" i="7"/>
  <c r="R139" i="7"/>
  <c r="S139" i="7"/>
  <c r="Q120" i="7"/>
  <c r="O120" i="7"/>
  <c r="L120" i="7"/>
  <c r="K120" i="7"/>
  <c r="J120" i="7"/>
  <c r="I120" i="7"/>
  <c r="I68" i="7"/>
  <c r="I70" i="7" s="1"/>
  <c r="J68" i="7"/>
  <c r="J70" i="7" s="1"/>
  <c r="K68" i="7"/>
  <c r="K70" i="7" s="1"/>
  <c r="M68" i="7"/>
  <c r="M70" i="7" s="1"/>
  <c r="N68" i="7"/>
  <c r="N70" i="7" s="1"/>
  <c r="O68" i="7"/>
  <c r="O70" i="7" s="1"/>
  <c r="Q68" i="7"/>
  <c r="Q70" i="7" s="1"/>
  <c r="R68" i="7"/>
  <c r="R70" i="7" s="1"/>
  <c r="H45" i="1" l="1"/>
  <c r="T7" i="1"/>
  <c r="I45" i="1"/>
  <c r="M45" i="1"/>
  <c r="P45" i="1"/>
  <c r="L45" i="1"/>
  <c r="S45" i="1"/>
  <c r="O45" i="1"/>
  <c r="K45" i="1"/>
  <c r="Q45" i="1"/>
  <c r="R45" i="1"/>
  <c r="N45" i="1"/>
  <c r="J45" i="1"/>
  <c r="T45" i="7"/>
  <c r="T42" i="7"/>
  <c r="T10" i="6" l="1"/>
  <c r="T14" i="6" l="1"/>
  <c r="F14" i="6"/>
  <c r="F37" i="23" l="1"/>
  <c r="E37" i="23"/>
  <c r="F36" i="6" l="1"/>
  <c r="F35" i="6"/>
  <c r="G37" i="6" s="1"/>
  <c r="T35" i="6" l="1"/>
  <c r="T36" i="6"/>
  <c r="T37" i="6" l="1"/>
  <c r="E12" i="24"/>
  <c r="D11" i="5" l="1"/>
  <c r="N156" i="7" l="1"/>
  <c r="J52" i="4" s="1"/>
  <c r="K156" i="7"/>
  <c r="G52" i="4" s="1"/>
  <c r="I156" i="7"/>
  <c r="E52" i="4" s="1"/>
  <c r="H156" i="7"/>
  <c r="D52" i="4" s="1"/>
  <c r="S156" i="7"/>
  <c r="O52" i="4" s="1"/>
  <c r="R156" i="7"/>
  <c r="N52" i="4" s="1"/>
  <c r="Q156" i="7"/>
  <c r="M52" i="4" s="1"/>
  <c r="P156" i="7"/>
  <c r="L52" i="4" s="1"/>
  <c r="O156" i="7"/>
  <c r="K52" i="4" s="1"/>
  <c r="M156" i="7"/>
  <c r="I52" i="4" s="1"/>
  <c r="L156" i="7"/>
  <c r="H52" i="4" s="1"/>
  <c r="J156" i="7"/>
  <c r="F52" i="4" s="1"/>
  <c r="F155" i="7"/>
  <c r="F63" i="7"/>
  <c r="F62" i="7"/>
  <c r="G65" i="7" l="1"/>
  <c r="H32" i="4"/>
  <c r="L32" i="4"/>
  <c r="F32" i="4"/>
  <c r="G32" i="4"/>
  <c r="E32" i="4"/>
  <c r="O32" i="4"/>
  <c r="M32" i="4"/>
  <c r="K32" i="4"/>
  <c r="I32" i="4"/>
  <c r="N32" i="4"/>
  <c r="J32" i="4"/>
  <c r="T62" i="7"/>
  <c r="T63" i="7"/>
  <c r="G156" i="7"/>
  <c r="C52" i="4" s="1"/>
  <c r="D32" i="4"/>
  <c r="P52" i="4"/>
  <c r="T155" i="7"/>
  <c r="T156" i="7" s="1"/>
  <c r="Q37" i="23"/>
  <c r="I39" i="23"/>
  <c r="K39" i="23"/>
  <c r="T65" i="7" l="1"/>
  <c r="C51" i="2"/>
  <c r="F39" i="23"/>
  <c r="G39" i="23"/>
  <c r="Q39" i="23"/>
  <c r="O39" i="23"/>
  <c r="M39" i="23"/>
  <c r="H39" i="23"/>
  <c r="P39" i="23"/>
  <c r="N39" i="23"/>
  <c r="L39" i="23"/>
  <c r="J39" i="23"/>
  <c r="P32" i="4"/>
  <c r="C32" i="2"/>
  <c r="C32" i="4"/>
  <c r="T37" i="1"/>
  <c r="J38" i="1"/>
  <c r="F59" i="4" s="1"/>
  <c r="L38" i="1"/>
  <c r="H59" i="4" s="1"/>
  <c r="N38" i="1"/>
  <c r="J59" i="4" s="1"/>
  <c r="P38" i="1"/>
  <c r="L59" i="4" s="1"/>
  <c r="R38" i="1"/>
  <c r="N59" i="4" s="1"/>
  <c r="F37" i="1"/>
  <c r="S38" i="1"/>
  <c r="O59" i="4" s="1"/>
  <c r="Q38" i="1"/>
  <c r="M59" i="4" s="1"/>
  <c r="O38" i="1"/>
  <c r="K59" i="4" s="1"/>
  <c r="M38" i="1"/>
  <c r="I59" i="4" s="1"/>
  <c r="K38" i="1"/>
  <c r="G59" i="4" s="1"/>
  <c r="I38" i="1"/>
  <c r="E59" i="4" s="1"/>
  <c r="F36" i="1"/>
  <c r="R26" i="1"/>
  <c r="N57" i="4" s="1"/>
  <c r="J26" i="1"/>
  <c r="F57" i="4" s="1"/>
  <c r="L26" i="1"/>
  <c r="H57" i="4" s="1"/>
  <c r="N26" i="1"/>
  <c r="J57" i="4" s="1"/>
  <c r="P26" i="1"/>
  <c r="L57" i="4" s="1"/>
  <c r="F25" i="1"/>
  <c r="F22" i="1"/>
  <c r="S26" i="1"/>
  <c r="O57" i="4" s="1"/>
  <c r="Q26" i="1"/>
  <c r="M57" i="4" s="1"/>
  <c r="O26" i="1"/>
  <c r="K57" i="4" s="1"/>
  <c r="M26" i="1"/>
  <c r="I57" i="4" s="1"/>
  <c r="K26" i="1"/>
  <c r="G57" i="4" s="1"/>
  <c r="I26" i="1"/>
  <c r="E57" i="4" s="1"/>
  <c r="F11" i="1"/>
  <c r="O47" i="4"/>
  <c r="N47" i="4"/>
  <c r="M47" i="4"/>
  <c r="L47" i="4"/>
  <c r="K47" i="4"/>
  <c r="J47" i="4"/>
  <c r="I47" i="4"/>
  <c r="H47" i="4"/>
  <c r="G47" i="4"/>
  <c r="F47" i="4"/>
  <c r="E47" i="4"/>
  <c r="D47" i="4"/>
  <c r="F133" i="7"/>
  <c r="G136" i="7" s="1"/>
  <c r="F77" i="7"/>
  <c r="G81" i="7" s="1"/>
  <c r="P148" i="7"/>
  <c r="P149" i="7" s="1"/>
  <c r="L50" i="4" s="1"/>
  <c r="Q148" i="7"/>
  <c r="R148" i="7"/>
  <c r="R149" i="7" s="1"/>
  <c r="N50" i="4" s="1"/>
  <c r="S148" i="7"/>
  <c r="K148" i="7"/>
  <c r="K149" i="7" s="1"/>
  <c r="G50" i="4" s="1"/>
  <c r="L148" i="7"/>
  <c r="L149" i="7" s="1"/>
  <c r="H50" i="4" s="1"/>
  <c r="M148" i="7"/>
  <c r="M149" i="7" s="1"/>
  <c r="I50" i="4" s="1"/>
  <c r="N148" i="7"/>
  <c r="N149" i="7" s="1"/>
  <c r="J50" i="4" s="1"/>
  <c r="O148" i="7"/>
  <c r="O149" i="7" s="1"/>
  <c r="K50" i="4" s="1"/>
  <c r="J148" i="7"/>
  <c r="J149" i="7" s="1"/>
  <c r="F50" i="4" s="1"/>
  <c r="I149" i="7"/>
  <c r="E50" i="4" s="1"/>
  <c r="F148" i="7"/>
  <c r="G149" i="7" s="1"/>
  <c r="H149" i="7"/>
  <c r="D50" i="4" s="1"/>
  <c r="R145" i="7"/>
  <c r="N49" i="4" s="1"/>
  <c r="S145" i="7"/>
  <c r="O49" i="4" s="1"/>
  <c r="P145" i="7"/>
  <c r="L49" i="4" s="1"/>
  <c r="O145" i="7"/>
  <c r="K49" i="4" s="1"/>
  <c r="N145" i="7"/>
  <c r="J49" i="4" s="1"/>
  <c r="L145" i="7"/>
  <c r="H49" i="4" s="1"/>
  <c r="K145" i="7"/>
  <c r="G49" i="4" s="1"/>
  <c r="J145" i="7"/>
  <c r="F49" i="4" s="1"/>
  <c r="I145" i="7"/>
  <c r="E49" i="4" s="1"/>
  <c r="H144" i="7"/>
  <c r="F144" i="7"/>
  <c r="G145" i="7" s="1"/>
  <c r="Q145" i="7"/>
  <c r="M49" i="4" s="1"/>
  <c r="M145" i="7"/>
  <c r="I49" i="4" s="1"/>
  <c r="R129" i="7"/>
  <c r="S129" i="7"/>
  <c r="I129" i="7"/>
  <c r="H130" i="7"/>
  <c r="D46" i="4" s="1"/>
  <c r="S128" i="7"/>
  <c r="F129" i="7"/>
  <c r="F128" i="7"/>
  <c r="Q125" i="7"/>
  <c r="M45" i="4" s="1"/>
  <c r="P125" i="7"/>
  <c r="L45" i="4" s="1"/>
  <c r="O125" i="7"/>
  <c r="K45" i="4" s="1"/>
  <c r="N125" i="7"/>
  <c r="J45" i="4" s="1"/>
  <c r="M125" i="7"/>
  <c r="I45" i="4" s="1"/>
  <c r="L125" i="7"/>
  <c r="H45" i="4" s="1"/>
  <c r="K125" i="7"/>
  <c r="G45" i="4" s="1"/>
  <c r="H121" i="7"/>
  <c r="D44" i="4" s="1"/>
  <c r="I125" i="7"/>
  <c r="E45" i="4" s="1"/>
  <c r="J125" i="7"/>
  <c r="F45" i="4" s="1"/>
  <c r="H124" i="7"/>
  <c r="H125" i="7" s="1"/>
  <c r="D45" i="4" s="1"/>
  <c r="S125" i="7"/>
  <c r="O45" i="4" s="1"/>
  <c r="R125" i="7"/>
  <c r="N45" i="4" s="1"/>
  <c r="F124" i="7"/>
  <c r="G125" i="7" s="1"/>
  <c r="R121" i="7"/>
  <c r="N44" i="4" s="1"/>
  <c r="Q121" i="7"/>
  <c r="M44" i="4" s="1"/>
  <c r="P120" i="7"/>
  <c r="P121" i="7" s="1"/>
  <c r="L44" i="4" s="1"/>
  <c r="O121" i="7"/>
  <c r="K44" i="4" s="1"/>
  <c r="N120" i="7"/>
  <c r="N121" i="7" s="1"/>
  <c r="J44" i="4" s="1"/>
  <c r="M121" i="7"/>
  <c r="I44" i="4" s="1"/>
  <c r="L121" i="7"/>
  <c r="H44" i="4" s="1"/>
  <c r="K121" i="7"/>
  <c r="G44" i="4" s="1"/>
  <c r="J121" i="7"/>
  <c r="F44" i="4" s="1"/>
  <c r="I121" i="7"/>
  <c r="E44" i="4" s="1"/>
  <c r="S120" i="7"/>
  <c r="S121" i="7" s="1"/>
  <c r="O44" i="4" s="1"/>
  <c r="F120" i="7"/>
  <c r="G121" i="7" s="1"/>
  <c r="N42" i="4"/>
  <c r="L42" i="4"/>
  <c r="J42" i="4"/>
  <c r="H42" i="4"/>
  <c r="F42" i="4"/>
  <c r="E42" i="4"/>
  <c r="H110" i="7"/>
  <c r="O42" i="4"/>
  <c r="M42" i="4"/>
  <c r="K42" i="4"/>
  <c r="I42" i="4"/>
  <c r="G42" i="4"/>
  <c r="F110" i="7"/>
  <c r="G113" i="7" s="1"/>
  <c r="S89" i="7"/>
  <c r="O37" i="4" s="1"/>
  <c r="Q89" i="7"/>
  <c r="M37" i="4" s="1"/>
  <c r="P89" i="7"/>
  <c r="L37" i="4" s="1"/>
  <c r="O89" i="7"/>
  <c r="K37" i="4" s="1"/>
  <c r="L89" i="7"/>
  <c r="H37" i="4" s="1"/>
  <c r="M89" i="7"/>
  <c r="I37" i="4" s="1"/>
  <c r="N89" i="7"/>
  <c r="J37" i="4" s="1"/>
  <c r="K89" i="7"/>
  <c r="G37" i="4" s="1"/>
  <c r="J89" i="7"/>
  <c r="F37" i="4" s="1"/>
  <c r="I89" i="7"/>
  <c r="E37" i="4" s="1"/>
  <c r="H89" i="7"/>
  <c r="D37" i="4" s="1"/>
  <c r="F88" i="7"/>
  <c r="G89" i="7" s="1"/>
  <c r="O33" i="4"/>
  <c r="N33" i="4"/>
  <c r="M33" i="4"/>
  <c r="L33" i="4"/>
  <c r="K33" i="4"/>
  <c r="J33" i="4"/>
  <c r="I33" i="4"/>
  <c r="H33" i="4"/>
  <c r="G33" i="4"/>
  <c r="F33" i="4"/>
  <c r="E33" i="4"/>
  <c r="D33" i="4"/>
  <c r="F68" i="7"/>
  <c r="G70" i="7" s="1"/>
  <c r="Q59" i="7"/>
  <c r="M31" i="4" s="1"/>
  <c r="N59" i="7"/>
  <c r="J31" i="4" s="1"/>
  <c r="K59" i="7"/>
  <c r="G31" i="4" s="1"/>
  <c r="O59" i="7"/>
  <c r="K31" i="4" s="1"/>
  <c r="L59" i="7"/>
  <c r="H31" i="4" s="1"/>
  <c r="J59" i="7"/>
  <c r="F31" i="4" s="1"/>
  <c r="I59" i="7"/>
  <c r="E31" i="4" s="1"/>
  <c r="S59" i="7"/>
  <c r="O31" i="4" s="1"/>
  <c r="R59" i="7"/>
  <c r="N31" i="4" s="1"/>
  <c r="P59" i="7"/>
  <c r="L31" i="4" s="1"/>
  <c r="M59" i="7"/>
  <c r="I31" i="4" s="1"/>
  <c r="L30" i="4"/>
  <c r="M30" i="4"/>
  <c r="K30" i="4"/>
  <c r="J30" i="4"/>
  <c r="H30" i="4"/>
  <c r="F30" i="4"/>
  <c r="E30" i="4"/>
  <c r="D30" i="4"/>
  <c r="O30" i="4"/>
  <c r="N30" i="4"/>
  <c r="H47" i="7"/>
  <c r="R48" i="7"/>
  <c r="N29" i="4" s="1"/>
  <c r="L48" i="7"/>
  <c r="H29" i="4" s="1"/>
  <c r="P48" i="7"/>
  <c r="L29" i="4" s="1"/>
  <c r="J48" i="7"/>
  <c r="F29" i="4" s="1"/>
  <c r="F47" i="7"/>
  <c r="I18" i="7"/>
  <c r="E24" i="4" s="1"/>
  <c r="J18" i="7"/>
  <c r="F24" i="4" s="1"/>
  <c r="K18" i="7"/>
  <c r="G24" i="4" s="1"/>
  <c r="L18" i="7"/>
  <c r="H24" i="4" s="1"/>
  <c r="M18" i="7"/>
  <c r="I24" i="4" s="1"/>
  <c r="N18" i="7"/>
  <c r="J24" i="4" s="1"/>
  <c r="O18" i="7"/>
  <c r="K24" i="4" s="1"/>
  <c r="P18" i="7"/>
  <c r="L24" i="4" s="1"/>
  <c r="Q18" i="7"/>
  <c r="M24" i="4" s="1"/>
  <c r="R18" i="7"/>
  <c r="N24" i="4" s="1"/>
  <c r="S18" i="7"/>
  <c r="O24" i="4" s="1"/>
  <c r="F17" i="7"/>
  <c r="G18" i="7" s="1"/>
  <c r="F13" i="7"/>
  <c r="G14" i="7" s="1"/>
  <c r="C23" i="4" s="1"/>
  <c r="H14" i="7"/>
  <c r="D23" i="4" s="1"/>
  <c r="S6" i="7"/>
  <c r="R6" i="7"/>
  <c r="Q6" i="7"/>
  <c r="O6" i="7"/>
  <c r="P6" i="7"/>
  <c r="N6" i="7"/>
  <c r="L6" i="7"/>
  <c r="K6" i="7"/>
  <c r="I6" i="7"/>
  <c r="J6" i="7"/>
  <c r="H6" i="7"/>
  <c r="M6" i="7"/>
  <c r="F5" i="7"/>
  <c r="I15" i="4"/>
  <c r="J15" i="4"/>
  <c r="L15" i="4"/>
  <c r="M15" i="4"/>
  <c r="O15" i="4"/>
  <c r="N15" i="4"/>
  <c r="K15" i="4"/>
  <c r="H15" i="4"/>
  <c r="G15" i="4"/>
  <c r="F15" i="4"/>
  <c r="E15" i="4"/>
  <c r="N87" i="6"/>
  <c r="J14" i="4" s="1"/>
  <c r="R87" i="6"/>
  <c r="N14" i="4" s="1"/>
  <c r="H87" i="6"/>
  <c r="D14" i="4" s="1"/>
  <c r="S87" i="6"/>
  <c r="O14" i="4" s="1"/>
  <c r="Q87" i="6"/>
  <c r="M14" i="4" s="1"/>
  <c r="P87" i="6"/>
  <c r="L14" i="4" s="1"/>
  <c r="O87" i="6"/>
  <c r="K14" i="4" s="1"/>
  <c r="M87" i="6"/>
  <c r="I14" i="4" s="1"/>
  <c r="L87" i="6"/>
  <c r="H14" i="4" s="1"/>
  <c r="K87" i="6"/>
  <c r="G14" i="4" s="1"/>
  <c r="J87" i="6"/>
  <c r="F14" i="4" s="1"/>
  <c r="I87" i="6"/>
  <c r="E14" i="4" s="1"/>
  <c r="F86" i="6"/>
  <c r="G87" i="6" s="1"/>
  <c r="P83" i="6"/>
  <c r="L13" i="4" s="1"/>
  <c r="Q83" i="6"/>
  <c r="M13" i="4" s="1"/>
  <c r="R83" i="6"/>
  <c r="N13" i="4" s="1"/>
  <c r="S83" i="6"/>
  <c r="O13" i="4" s="1"/>
  <c r="O83" i="6"/>
  <c r="K13" i="4" s="1"/>
  <c r="N83" i="6"/>
  <c r="J13" i="4" s="1"/>
  <c r="M83" i="6"/>
  <c r="I13" i="4" s="1"/>
  <c r="L83" i="6"/>
  <c r="H13" i="4" s="1"/>
  <c r="K83" i="6"/>
  <c r="G13" i="4" s="1"/>
  <c r="I83" i="6"/>
  <c r="E13" i="4" s="1"/>
  <c r="J83" i="6"/>
  <c r="F13" i="4" s="1"/>
  <c r="H83" i="6"/>
  <c r="D13" i="4" s="1"/>
  <c r="F82" i="6"/>
  <c r="F21" i="4" l="1"/>
  <c r="H113" i="7"/>
  <c r="D42" i="4" s="1"/>
  <c r="P42" i="4" s="1"/>
  <c r="G26" i="1"/>
  <c r="D15" i="4"/>
  <c r="P15" i="4" s="1"/>
  <c r="H26" i="1"/>
  <c r="H48" i="7"/>
  <c r="H38" i="1"/>
  <c r="D59" i="4" s="1"/>
  <c r="P59" i="4" s="1"/>
  <c r="O130" i="7"/>
  <c r="K46" i="4" s="1"/>
  <c r="I130" i="7"/>
  <c r="E46" i="4" s="1"/>
  <c r="G130" i="7"/>
  <c r="D35" i="4"/>
  <c r="P45" i="4"/>
  <c r="P47" i="4"/>
  <c r="I35" i="4"/>
  <c r="G48" i="7"/>
  <c r="P33" i="4"/>
  <c r="D21" i="4"/>
  <c r="E21" i="4"/>
  <c r="H21" i="4"/>
  <c r="L21" i="4"/>
  <c r="M21" i="4"/>
  <c r="O21" i="4"/>
  <c r="I21" i="4"/>
  <c r="G21" i="4"/>
  <c r="J21" i="4"/>
  <c r="K21" i="4"/>
  <c r="N21" i="4"/>
  <c r="G30" i="4"/>
  <c r="I30" i="4"/>
  <c r="T148" i="7"/>
  <c r="C15" i="4"/>
  <c r="D10" i="4"/>
  <c r="F10" i="4"/>
  <c r="H10" i="4"/>
  <c r="J10" i="4"/>
  <c r="L10" i="4"/>
  <c r="C30" i="2"/>
  <c r="C30" i="4"/>
  <c r="C33" i="2"/>
  <c r="C33" i="4"/>
  <c r="C42" i="2"/>
  <c r="C42" i="4"/>
  <c r="C44" i="2"/>
  <c r="C44" i="4"/>
  <c r="C45" i="2"/>
  <c r="C45" i="4"/>
  <c r="S130" i="7"/>
  <c r="O46" i="4" s="1"/>
  <c r="K130" i="7"/>
  <c r="G46" i="4" s="1"/>
  <c r="T128" i="7"/>
  <c r="C49" i="2"/>
  <c r="C49" i="4"/>
  <c r="M35" i="4"/>
  <c r="K35" i="4"/>
  <c r="G35" i="4"/>
  <c r="E35" i="4"/>
  <c r="C47" i="2"/>
  <c r="C47" i="4"/>
  <c r="C14" i="2"/>
  <c r="C14" i="4"/>
  <c r="C31" i="2"/>
  <c r="C31" i="4"/>
  <c r="P44" i="4"/>
  <c r="G38" i="1"/>
  <c r="C59" i="4" s="1"/>
  <c r="C50" i="2"/>
  <c r="C50" i="4"/>
  <c r="Q130" i="7"/>
  <c r="M46" i="4" s="1"/>
  <c r="M130" i="7"/>
  <c r="I46" i="4" s="1"/>
  <c r="R130" i="7"/>
  <c r="N46" i="4" s="1"/>
  <c r="P130" i="7"/>
  <c r="L46" i="4" s="1"/>
  <c r="N130" i="7"/>
  <c r="J46" i="4" s="1"/>
  <c r="L130" i="7"/>
  <c r="H46" i="4" s="1"/>
  <c r="J130" i="7"/>
  <c r="F46" i="4" s="1"/>
  <c r="T144" i="7"/>
  <c r="T145" i="7" s="1"/>
  <c r="N35" i="4"/>
  <c r="L35" i="4"/>
  <c r="J35" i="4"/>
  <c r="H35" i="4"/>
  <c r="H145" i="7"/>
  <c r="D49" i="4" s="1"/>
  <c r="P49" i="4" s="1"/>
  <c r="T36" i="1"/>
  <c r="T38" i="1" s="1"/>
  <c r="T22" i="1"/>
  <c r="T25" i="1"/>
  <c r="T11" i="1"/>
  <c r="T133" i="7"/>
  <c r="T136" i="7" s="1"/>
  <c r="T77" i="7"/>
  <c r="T81" i="7" s="1"/>
  <c r="S149" i="7"/>
  <c r="O50" i="4" s="1"/>
  <c r="Q149" i="7"/>
  <c r="M50" i="4" s="1"/>
  <c r="T129" i="7"/>
  <c r="T124" i="7"/>
  <c r="T125" i="7" s="1"/>
  <c r="T120" i="7"/>
  <c r="T121" i="7" s="1"/>
  <c r="T110" i="7"/>
  <c r="T113" i="7" s="1"/>
  <c r="R89" i="7"/>
  <c r="N37" i="4" s="1"/>
  <c r="P37" i="4" s="1"/>
  <c r="T88" i="7"/>
  <c r="T59" i="7"/>
  <c r="T68" i="7"/>
  <c r="T70" i="7" s="1"/>
  <c r="T17" i="7"/>
  <c r="T47" i="7"/>
  <c r="H59" i="7"/>
  <c r="H18" i="7"/>
  <c r="N48" i="7"/>
  <c r="G6" i="7"/>
  <c r="I48" i="7"/>
  <c r="S48" i="7"/>
  <c r="O29" i="4" s="1"/>
  <c r="Q48" i="7"/>
  <c r="M29" i="4" s="1"/>
  <c r="O48" i="7"/>
  <c r="K29" i="4" s="1"/>
  <c r="M48" i="7"/>
  <c r="I29" i="4" s="1"/>
  <c r="K48" i="7"/>
  <c r="G29" i="4" s="1"/>
  <c r="T13" i="7"/>
  <c r="T5" i="7"/>
  <c r="T6" i="7" s="1"/>
  <c r="E10" i="4"/>
  <c r="G10" i="4"/>
  <c r="I10" i="4"/>
  <c r="K10" i="4"/>
  <c r="M10" i="4"/>
  <c r="N10" i="4"/>
  <c r="O10" i="4"/>
  <c r="T86" i="6"/>
  <c r="T87" i="6" s="1"/>
  <c r="T82" i="6"/>
  <c r="D17" i="5"/>
  <c r="P29" i="4" l="1"/>
  <c r="C58" i="2"/>
  <c r="T89" i="7"/>
  <c r="T130" i="7"/>
  <c r="C15" i="2"/>
  <c r="P46" i="4"/>
  <c r="P30" i="4"/>
  <c r="T48" i="7"/>
  <c r="T18" i="7"/>
  <c r="O35" i="4"/>
  <c r="T83" i="6"/>
  <c r="C10" i="2"/>
  <c r="C10" i="4"/>
  <c r="C21" i="2"/>
  <c r="C21" i="4"/>
  <c r="D24" i="4"/>
  <c r="C24" i="2"/>
  <c r="C24" i="4"/>
  <c r="D31" i="4"/>
  <c r="P31" i="4" s="1"/>
  <c r="C29" i="2"/>
  <c r="C29" i="4"/>
  <c r="C37" i="2"/>
  <c r="C37" i="4"/>
  <c r="F35" i="4"/>
  <c r="C46" i="2"/>
  <c r="C46" i="4"/>
  <c r="C35" i="2"/>
  <c r="C35" i="4"/>
  <c r="T26" i="1"/>
  <c r="T149" i="7"/>
  <c r="D18" i="5"/>
  <c r="M107" i="7"/>
  <c r="I41" i="4" s="1"/>
  <c r="J107" i="7"/>
  <c r="F41" i="4" s="1"/>
  <c r="P35" i="4" l="1"/>
  <c r="J141" i="7"/>
  <c r="H56" i="1"/>
  <c r="F56" i="1"/>
  <c r="F55" i="1"/>
  <c r="L141" i="7"/>
  <c r="H48" i="4" l="1"/>
  <c r="F48" i="4"/>
  <c r="T56" i="1"/>
  <c r="T55" i="1"/>
  <c r="I57" i="1"/>
  <c r="K57" i="1"/>
  <c r="H57" i="1"/>
  <c r="J57" i="1"/>
  <c r="L57" i="1"/>
  <c r="M57" i="1"/>
  <c r="N57" i="1"/>
  <c r="O57" i="1"/>
  <c r="P57" i="1"/>
  <c r="Q57" i="1"/>
  <c r="R57" i="1"/>
  <c r="S57" i="1"/>
  <c r="S85" i="7"/>
  <c r="O36" i="4" s="1"/>
  <c r="P85" i="7"/>
  <c r="L36" i="4" s="1"/>
  <c r="Q85" i="7"/>
  <c r="M36" i="4" s="1"/>
  <c r="R85" i="7"/>
  <c r="N36" i="4" s="1"/>
  <c r="N85" i="7"/>
  <c r="J36" i="4" s="1"/>
  <c r="I85" i="7"/>
  <c r="E36" i="4" s="1"/>
  <c r="J85" i="7"/>
  <c r="F36" i="4" s="1"/>
  <c r="K85" i="7"/>
  <c r="G36" i="4" s="1"/>
  <c r="L85" i="7"/>
  <c r="H36" i="4" s="1"/>
  <c r="M85" i="7"/>
  <c r="I36" i="4" s="1"/>
  <c r="S97" i="6"/>
  <c r="R97" i="6"/>
  <c r="P97" i="6"/>
  <c r="Q97" i="6"/>
  <c r="N97" i="6"/>
  <c r="O97" i="6"/>
  <c r="L97" i="6"/>
  <c r="M97" i="6"/>
  <c r="J97" i="6"/>
  <c r="K97" i="6"/>
  <c r="I97" i="6"/>
  <c r="T12" i="6" l="1"/>
  <c r="F8" i="6"/>
  <c r="F10" i="6"/>
  <c r="F11" i="6"/>
  <c r="T11" i="6" l="1"/>
  <c r="T8" i="6"/>
  <c r="F50" i="6"/>
  <c r="T50" i="6" l="1"/>
  <c r="S99" i="7" l="1"/>
  <c r="O39" i="4" s="1"/>
  <c r="P99" i="7"/>
  <c r="L39" i="4" s="1"/>
  <c r="T47" i="6"/>
  <c r="T41" i="6"/>
  <c r="F40" i="6"/>
  <c r="F41" i="6"/>
  <c r="F47" i="6"/>
  <c r="P51" i="1"/>
  <c r="F49" i="1"/>
  <c r="Q141" i="7"/>
  <c r="R117" i="7"/>
  <c r="N43" i="4" s="1"/>
  <c r="Q117" i="7"/>
  <c r="M43" i="4" s="1"/>
  <c r="P117" i="7"/>
  <c r="L43" i="4" s="1"/>
  <c r="O117" i="7"/>
  <c r="K43" i="4" s="1"/>
  <c r="N117" i="7"/>
  <c r="J43" i="4" s="1"/>
  <c r="M117" i="7"/>
  <c r="I43" i="4" s="1"/>
  <c r="L117" i="7"/>
  <c r="H43" i="4" s="1"/>
  <c r="K117" i="7"/>
  <c r="G43" i="4" s="1"/>
  <c r="J117" i="7"/>
  <c r="F43" i="4" s="1"/>
  <c r="I117" i="7"/>
  <c r="E43" i="4" s="1"/>
  <c r="H117" i="7"/>
  <c r="D43" i="4" s="1"/>
  <c r="R107" i="7"/>
  <c r="N41" i="4" s="1"/>
  <c r="Q107" i="7"/>
  <c r="M41" i="4" s="1"/>
  <c r="O107" i="7"/>
  <c r="K41" i="4" s="1"/>
  <c r="K107" i="7"/>
  <c r="G41" i="4" s="1"/>
  <c r="I107" i="7"/>
  <c r="E41" i="4" s="1"/>
  <c r="S74" i="7"/>
  <c r="R74" i="7"/>
  <c r="Q74" i="7"/>
  <c r="O74" i="7"/>
  <c r="K34" i="4" s="1"/>
  <c r="L74" i="7"/>
  <c r="K74" i="7"/>
  <c r="J74" i="7"/>
  <c r="I74" i="7"/>
  <c r="F37" i="7"/>
  <c r="M48" i="4" l="1"/>
  <c r="G56" i="6"/>
  <c r="I51" i="1"/>
  <c r="O51" i="1"/>
  <c r="K39" i="7"/>
  <c r="G28" i="4" s="1"/>
  <c r="M39" i="7"/>
  <c r="I28" i="4" s="1"/>
  <c r="Q39" i="7"/>
  <c r="M28" i="4" s="1"/>
  <c r="O39" i="7"/>
  <c r="K28" i="4" s="1"/>
  <c r="L39" i="7"/>
  <c r="H28" i="4" s="1"/>
  <c r="N39" i="7"/>
  <c r="J28" i="4" s="1"/>
  <c r="P39" i="7"/>
  <c r="L28" i="4" s="1"/>
  <c r="T40" i="6"/>
  <c r="T56" i="6" s="1"/>
  <c r="T49" i="1"/>
  <c r="T38" i="7"/>
  <c r="T37" i="7"/>
  <c r="I56" i="6" l="1"/>
  <c r="E11" i="4" s="1"/>
  <c r="J56" i="6"/>
  <c r="F11" i="4" s="1"/>
  <c r="K56" i="6"/>
  <c r="G11" i="4" s="1"/>
  <c r="L56" i="6"/>
  <c r="H11" i="4" s="1"/>
  <c r="M56" i="6"/>
  <c r="I11" i="4" s="1"/>
  <c r="N56" i="6"/>
  <c r="J11" i="4" s="1"/>
  <c r="O56" i="6"/>
  <c r="K11" i="4" s="1"/>
  <c r="P56" i="6"/>
  <c r="L11" i="4" s="1"/>
  <c r="Q56" i="6"/>
  <c r="M11" i="4" s="1"/>
  <c r="R56" i="6"/>
  <c r="N11" i="4" s="1"/>
  <c r="S56" i="6"/>
  <c r="O11" i="4" s="1"/>
  <c r="H56" i="6"/>
  <c r="D11" i="4" s="1"/>
  <c r="O62" i="4" l="1"/>
  <c r="N62" i="4"/>
  <c r="M62" i="4"/>
  <c r="L62" i="4"/>
  <c r="K62" i="4"/>
  <c r="J62" i="4"/>
  <c r="H62" i="4"/>
  <c r="D62" i="4"/>
  <c r="F54" i="1"/>
  <c r="E11" i="22"/>
  <c r="F62" i="4" l="1"/>
  <c r="G57" i="1"/>
  <c r="E62" i="4"/>
  <c r="G62" i="4"/>
  <c r="I62" i="4"/>
  <c r="T54" i="1"/>
  <c r="T57" i="1" s="1"/>
  <c r="P62" i="4" l="1"/>
  <c r="C61" i="2"/>
  <c r="C62" i="4"/>
  <c r="F38" i="7"/>
  <c r="K51" i="1" l="1"/>
  <c r="J51" i="1"/>
  <c r="H51" i="1"/>
  <c r="O141" i="7"/>
  <c r="K141" i="7"/>
  <c r="K48" i="4" l="1"/>
  <c r="G48" i="4"/>
  <c r="P141" i="7"/>
  <c r="L48" i="4" l="1"/>
  <c r="M51" i="1" l="1"/>
  <c r="P107" i="7"/>
  <c r="L41" i="4" s="1"/>
  <c r="L107" i="7"/>
  <c r="H41" i="4" s="1"/>
  <c r="H107" i="7"/>
  <c r="D41" i="4" s="1"/>
  <c r="I38" i="4"/>
  <c r="O85" i="7"/>
  <c r="K36" i="4" s="1"/>
  <c r="H85" i="7"/>
  <c r="D36" i="4" s="1"/>
  <c r="P74" i="7"/>
  <c r="N74" i="7"/>
  <c r="R39" i="7"/>
  <c r="N28" i="4" s="1"/>
  <c r="S39" i="7"/>
  <c r="O28" i="4" s="1"/>
  <c r="J39" i="7"/>
  <c r="F28" i="4" s="1"/>
  <c r="I39" i="7"/>
  <c r="E28" i="4" s="1"/>
  <c r="H39" i="7"/>
  <c r="D28" i="4" s="1"/>
  <c r="P34" i="7"/>
  <c r="N34" i="7"/>
  <c r="J27" i="4" s="1"/>
  <c r="S27" i="7"/>
  <c r="R27" i="7"/>
  <c r="Q27" i="7"/>
  <c r="P27" i="7"/>
  <c r="O27" i="7"/>
  <c r="N27" i="7"/>
  <c r="M27" i="7"/>
  <c r="L27" i="7"/>
  <c r="K27" i="7"/>
  <c r="I27" i="7"/>
  <c r="L27" i="4" l="1"/>
  <c r="N38" i="4"/>
  <c r="P36" i="4"/>
  <c r="L23" i="7"/>
  <c r="K23" i="7"/>
  <c r="J23" i="7"/>
  <c r="I23" i="7"/>
  <c r="H23" i="7"/>
  <c r="P14" i="7"/>
  <c r="J14" i="7"/>
  <c r="R79" i="6"/>
  <c r="Q79" i="6"/>
  <c r="M79" i="6"/>
  <c r="K79" i="6"/>
  <c r="J79" i="6"/>
  <c r="F12" i="4" s="1"/>
  <c r="I79" i="6"/>
  <c r="P79" i="6"/>
  <c r="O79" i="6"/>
  <c r="K12" i="4" s="1"/>
  <c r="L79" i="6"/>
  <c r="H79" i="6" l="1"/>
  <c r="D12" i="4" s="1"/>
  <c r="L23" i="4"/>
  <c r="F23" i="4"/>
  <c r="H12" i="4"/>
  <c r="L12" i="4"/>
  <c r="E12" i="4"/>
  <c r="G12" i="4"/>
  <c r="N12" i="4"/>
  <c r="I12" i="4"/>
  <c r="M12" i="4"/>
  <c r="S79" i="6"/>
  <c r="F15" i="6"/>
  <c r="P103" i="6" l="1"/>
  <c r="O103" i="6"/>
  <c r="M103" i="6"/>
  <c r="O12" i="4"/>
  <c r="T15" i="6"/>
  <c r="E16" i="24"/>
  <c r="E14" i="24"/>
  <c r="M141" i="7"/>
  <c r="I141" i="7"/>
  <c r="S117" i="7"/>
  <c r="Q99" i="7"/>
  <c r="M39" i="4" s="1"/>
  <c r="O99" i="7"/>
  <c r="K39" i="4" s="1"/>
  <c r="M99" i="7"/>
  <c r="I39" i="4" s="1"/>
  <c r="K99" i="7"/>
  <c r="G39" i="4" s="1"/>
  <c r="I99" i="7"/>
  <c r="E39" i="4" s="1"/>
  <c r="H98" i="7"/>
  <c r="O38" i="4"/>
  <c r="M38" i="4"/>
  <c r="K38" i="4"/>
  <c r="J38" i="4"/>
  <c r="I92" i="7"/>
  <c r="I95" i="7" s="1"/>
  <c r="H92" i="7"/>
  <c r="H95" i="7" s="1"/>
  <c r="T84" i="7"/>
  <c r="N34" i="4"/>
  <c r="L34" i="4"/>
  <c r="J34" i="4"/>
  <c r="M74" i="7"/>
  <c r="I34" i="4" s="1"/>
  <c r="H34" i="4"/>
  <c r="F34" i="4"/>
  <c r="H74" i="7"/>
  <c r="R36" i="23"/>
  <c r="R37" i="23" s="1"/>
  <c r="K37" i="23"/>
  <c r="L37" i="23"/>
  <c r="M37" i="23"/>
  <c r="G37" i="23"/>
  <c r="H37" i="23"/>
  <c r="J37" i="23"/>
  <c r="N37" i="23"/>
  <c r="O37" i="23"/>
  <c r="P37" i="23"/>
  <c r="R41" i="23"/>
  <c r="F5" i="1"/>
  <c r="F6" i="1"/>
  <c r="F7" i="1"/>
  <c r="F42" i="1"/>
  <c r="F44" i="1"/>
  <c r="L51" i="1"/>
  <c r="N51" i="1"/>
  <c r="Q51" i="1"/>
  <c r="R51" i="1"/>
  <c r="S51" i="1"/>
  <c r="I14" i="7"/>
  <c r="K14" i="7"/>
  <c r="L14" i="7"/>
  <c r="M14" i="7"/>
  <c r="N14" i="7"/>
  <c r="O14" i="7"/>
  <c r="Q14" i="7"/>
  <c r="R14" i="7"/>
  <c r="S14" i="7"/>
  <c r="F21" i="7"/>
  <c r="G23" i="7" s="1"/>
  <c r="G25" i="4"/>
  <c r="H25" i="4"/>
  <c r="M23" i="7"/>
  <c r="N23" i="7"/>
  <c r="J25" i="4" s="1"/>
  <c r="O23" i="7"/>
  <c r="P23" i="7"/>
  <c r="P159" i="7" s="1"/>
  <c r="Q23" i="7"/>
  <c r="R23" i="7"/>
  <c r="S23" i="7"/>
  <c r="D25" i="4"/>
  <c r="F25" i="4"/>
  <c r="F26" i="7"/>
  <c r="G27" i="7" s="1"/>
  <c r="C26" i="4" s="1"/>
  <c r="G26" i="4"/>
  <c r="I26" i="4"/>
  <c r="J26" i="4"/>
  <c r="K26" i="4"/>
  <c r="M26" i="4"/>
  <c r="N26" i="4"/>
  <c r="O26" i="4"/>
  <c r="H26" i="4"/>
  <c r="L26" i="4"/>
  <c r="I34" i="7"/>
  <c r="E27" i="4" s="1"/>
  <c r="K34" i="7"/>
  <c r="Q34" i="7"/>
  <c r="R34" i="7"/>
  <c r="N27" i="4" s="1"/>
  <c r="F30" i="7"/>
  <c r="G34" i="7" s="1"/>
  <c r="J34" i="7"/>
  <c r="M34" i="7"/>
  <c r="I27" i="4" s="1"/>
  <c r="O34" i="7"/>
  <c r="F73" i="7"/>
  <c r="G74" i="7" s="1"/>
  <c r="E34" i="4"/>
  <c r="G34" i="4"/>
  <c r="M34" i="4"/>
  <c r="O34" i="4"/>
  <c r="F84" i="7"/>
  <c r="G85" i="7" s="1"/>
  <c r="F92" i="7"/>
  <c r="G95" i="7" s="1"/>
  <c r="F98" i="7"/>
  <c r="G99" i="7" s="1"/>
  <c r="F106" i="7"/>
  <c r="F116" i="7"/>
  <c r="G117" i="7" s="1"/>
  <c r="F139" i="7"/>
  <c r="F140" i="7"/>
  <c r="F5" i="6"/>
  <c r="K103" i="6"/>
  <c r="L103" i="6"/>
  <c r="C11" i="4"/>
  <c r="F59" i="6"/>
  <c r="N79" i="6"/>
  <c r="N103" i="6" s="1"/>
  <c r="F63" i="6"/>
  <c r="G83" i="6"/>
  <c r="F96" i="6"/>
  <c r="G97" i="6" s="1"/>
  <c r="C16" i="4" s="1"/>
  <c r="F184" i="5"/>
  <c r="G184" i="5" s="1"/>
  <c r="Q185" i="5"/>
  <c r="D185" i="5" s="1"/>
  <c r="F186" i="5"/>
  <c r="G186" i="5" s="1"/>
  <c r="Q187" i="5"/>
  <c r="D187" i="5" s="1"/>
  <c r="F188" i="5"/>
  <c r="G188" i="5" s="1"/>
  <c r="H188" i="5" s="1"/>
  <c r="Q189" i="5"/>
  <c r="D189" i="5" s="1"/>
  <c r="Q190" i="5"/>
  <c r="D190" i="5" s="1"/>
  <c r="D191" i="5"/>
  <c r="Q191" i="5"/>
  <c r="Q192" i="5"/>
  <c r="Q193" i="5"/>
  <c r="D193" i="5" s="1"/>
  <c r="Q194" i="5"/>
  <c r="D194" i="5" s="1"/>
  <c r="Q195" i="5"/>
  <c r="D195" i="5" s="1"/>
  <c r="Q196" i="5"/>
  <c r="D196" i="5" s="1"/>
  <c r="D197" i="5"/>
  <c r="E197" i="5" s="1"/>
  <c r="E198" i="5"/>
  <c r="F198" i="5" s="1"/>
  <c r="E199" i="5"/>
  <c r="F199" i="5" s="1"/>
  <c r="G199" i="5" s="1"/>
  <c r="D200" i="5"/>
  <c r="E200" i="5" s="1"/>
  <c r="Q201" i="5"/>
  <c r="D201" i="5" s="1"/>
  <c r="F203" i="5"/>
  <c r="G203" i="5" s="1"/>
  <c r="H203" i="5" s="1"/>
  <c r="F213" i="5"/>
  <c r="G213" i="5" s="1"/>
  <c r="H213" i="5" s="1"/>
  <c r="I213" i="5" s="1"/>
  <c r="J213" i="5" s="1"/>
  <c r="K213" i="5" s="1"/>
  <c r="F214" i="5"/>
  <c r="G214" i="5" s="1"/>
  <c r="H214" i="5" s="1"/>
  <c r="I214" i="5" s="1"/>
  <c r="J214" i="5" s="1"/>
  <c r="K214" i="5" s="1"/>
  <c r="L225" i="5" s="1"/>
  <c r="M225" i="5" s="1"/>
  <c r="N225" i="5" s="1"/>
  <c r="O225" i="5" s="1"/>
  <c r="P225" i="5" s="1"/>
  <c r="F215" i="5"/>
  <c r="G215" i="5" s="1"/>
  <c r="H215" i="5" s="1"/>
  <c r="I215" i="5" s="1"/>
  <c r="J215" i="5" s="1"/>
  <c r="K215" i="5" s="1"/>
  <c r="L226" i="5" s="1"/>
  <c r="M226" i="5" s="1"/>
  <c r="N226" i="5" s="1"/>
  <c r="O226" i="5" s="1"/>
  <c r="P226" i="5" s="1"/>
  <c r="F216" i="5"/>
  <c r="G216" i="5" s="1"/>
  <c r="H216" i="5" s="1"/>
  <c r="I216" i="5" s="1"/>
  <c r="J216" i="5" s="1"/>
  <c r="K216" i="5" s="1"/>
  <c r="L227" i="5" s="1"/>
  <c r="M227" i="5" s="1"/>
  <c r="N227" i="5" s="1"/>
  <c r="O227" i="5" s="1"/>
  <c r="P227" i="5" s="1"/>
  <c r="F217" i="5"/>
  <c r="G217" i="5" s="1"/>
  <c r="H217" i="5" s="1"/>
  <c r="I217" i="5" s="1"/>
  <c r="J217" i="5" s="1"/>
  <c r="K217" i="5" s="1"/>
  <c r="L228" i="5" s="1"/>
  <c r="M228" i="5" s="1"/>
  <c r="N228" i="5" s="1"/>
  <c r="O228" i="5" s="1"/>
  <c r="P228" i="5" s="1"/>
  <c r="F218" i="5"/>
  <c r="G218" i="5" s="1"/>
  <c r="H218" i="5" s="1"/>
  <c r="I218" i="5" s="1"/>
  <c r="J218" i="5" s="1"/>
  <c r="K218" i="5" s="1"/>
  <c r="L229" i="5" s="1"/>
  <c r="M229" i="5" s="1"/>
  <c r="N229" i="5" s="1"/>
  <c r="O229" i="5" s="1"/>
  <c r="P229" i="5" s="1"/>
  <c r="F219" i="5"/>
  <c r="G219" i="5" s="1"/>
  <c r="H219" i="5" s="1"/>
  <c r="I219" i="5" s="1"/>
  <c r="J219" i="5" s="1"/>
  <c r="K219" i="5" s="1"/>
  <c r="L230" i="5" s="1"/>
  <c r="M230" i="5" s="1"/>
  <c r="N230" i="5" s="1"/>
  <c r="O230" i="5" s="1"/>
  <c r="P230" i="5" s="1"/>
  <c r="F220" i="5"/>
  <c r="G220" i="5" s="1"/>
  <c r="H220" i="5" s="1"/>
  <c r="I220" i="5" s="1"/>
  <c r="J220" i="5" s="1"/>
  <c r="K220" i="5" s="1"/>
  <c r="L231" i="5" s="1"/>
  <c r="M231" i="5" s="1"/>
  <c r="N231" i="5" s="1"/>
  <c r="O231" i="5" s="1"/>
  <c r="P231" i="5" s="1"/>
  <c r="F221" i="5"/>
  <c r="G221" i="5" s="1"/>
  <c r="H221" i="5" s="1"/>
  <c r="I221" i="5" s="1"/>
  <c r="J221" i="5" s="1"/>
  <c r="K221" i="5" s="1"/>
  <c r="L232" i="5" s="1"/>
  <c r="M232" i="5" s="1"/>
  <c r="N232" i="5" s="1"/>
  <c r="O232" i="5" s="1"/>
  <c r="P232" i="5" s="1"/>
  <c r="F222" i="5"/>
  <c r="G222" i="5" s="1"/>
  <c r="H222" i="5" s="1"/>
  <c r="I222" i="5" s="1"/>
  <c r="J222" i="5" s="1"/>
  <c r="K222" i="5" s="1"/>
  <c r="L233" i="5" s="1"/>
  <c r="M233" i="5" s="1"/>
  <c r="N233" i="5" s="1"/>
  <c r="O233" i="5" s="1"/>
  <c r="P233" i="5" s="1"/>
  <c r="F223" i="5"/>
  <c r="G223" i="5" s="1"/>
  <c r="H223" i="5" s="1"/>
  <c r="I223" i="5" s="1"/>
  <c r="J223" i="5" s="1"/>
  <c r="K223" i="5" s="1"/>
  <c r="L234" i="5" s="1"/>
  <c r="M234" i="5" s="1"/>
  <c r="N234" i="5" s="1"/>
  <c r="O234" i="5" s="1"/>
  <c r="P234" i="5" s="1"/>
  <c r="F224" i="5"/>
  <c r="G224" i="5" s="1"/>
  <c r="H224" i="5" s="1"/>
  <c r="I224" i="5" s="1"/>
  <c r="J224" i="5" s="1"/>
  <c r="K224" i="5" s="1"/>
  <c r="L235" i="5" s="1"/>
  <c r="M235" i="5" s="1"/>
  <c r="N235" i="5" s="1"/>
  <c r="O235" i="5" s="1"/>
  <c r="P235" i="5" s="1"/>
  <c r="F225" i="5"/>
  <c r="G225" i="5" s="1"/>
  <c r="H225" i="5" s="1"/>
  <c r="I225" i="5" s="1"/>
  <c r="J225" i="5" s="1"/>
  <c r="K225" i="5" s="1"/>
  <c r="L236" i="5" s="1"/>
  <c r="M236" i="5" s="1"/>
  <c r="N236" i="5" s="1"/>
  <c r="O236" i="5" s="1"/>
  <c r="P236" i="5" s="1"/>
  <c r="F226" i="5"/>
  <c r="G226" i="5" s="1"/>
  <c r="H226" i="5" s="1"/>
  <c r="I226" i="5" s="1"/>
  <c r="J226" i="5" s="1"/>
  <c r="K226" i="5" s="1"/>
  <c r="L237" i="5" s="1"/>
  <c r="M237" i="5" s="1"/>
  <c r="N237" i="5" s="1"/>
  <c r="O237" i="5" s="1"/>
  <c r="P237" i="5" s="1"/>
  <c r="F227" i="5"/>
  <c r="G227" i="5" s="1"/>
  <c r="H227" i="5" s="1"/>
  <c r="I227" i="5" s="1"/>
  <c r="J227" i="5" s="1"/>
  <c r="K227" i="5" s="1"/>
  <c r="L238" i="5" s="1"/>
  <c r="F228" i="5"/>
  <c r="G228" i="5" s="1"/>
  <c r="H228" i="5" s="1"/>
  <c r="I228" i="5" s="1"/>
  <c r="J228" i="5" s="1"/>
  <c r="K228" i="5" s="1"/>
  <c r="L239" i="5" s="1"/>
  <c r="F229" i="5"/>
  <c r="G229" i="5" s="1"/>
  <c r="H229" i="5" s="1"/>
  <c r="I229" i="5" s="1"/>
  <c r="J229" i="5" s="1"/>
  <c r="K229" i="5" s="1"/>
  <c r="L240" i="5" s="1"/>
  <c r="F230" i="5"/>
  <c r="G230" i="5" s="1"/>
  <c r="H230" i="5" s="1"/>
  <c r="I230" i="5" s="1"/>
  <c r="J230" i="5" s="1"/>
  <c r="K230" i="5" s="1"/>
  <c r="L241" i="5" s="1"/>
  <c r="F231" i="5"/>
  <c r="G231" i="5" s="1"/>
  <c r="H231" i="5" s="1"/>
  <c r="I231" i="5" s="1"/>
  <c r="J231" i="5" s="1"/>
  <c r="K231" i="5" s="1"/>
  <c r="L242" i="5" s="1"/>
  <c r="M242" i="5" s="1"/>
  <c r="N242" i="5" s="1"/>
  <c r="O242" i="5" s="1"/>
  <c r="P242" i="5" s="1"/>
  <c r="E232" i="5"/>
  <c r="F232" i="5" s="1"/>
  <c r="G232" i="5" s="1"/>
  <c r="H232" i="5" s="1"/>
  <c r="I232" i="5" s="1"/>
  <c r="J232" i="5" s="1"/>
  <c r="G233" i="5"/>
  <c r="F234" i="5"/>
  <c r="G234" i="5" s="1"/>
  <c r="H234" i="5" s="1"/>
  <c r="E235" i="5"/>
  <c r="E237" i="5" s="1"/>
  <c r="F236" i="5"/>
  <c r="C242" i="5"/>
  <c r="E242" i="5"/>
  <c r="H242" i="5" s="1"/>
  <c r="I242" i="5" s="1"/>
  <c r="F242" i="5"/>
  <c r="G242" i="5" s="1"/>
  <c r="K242" i="5"/>
  <c r="E243" i="5"/>
  <c r="F243" i="5"/>
  <c r="G243" i="5" s="1"/>
  <c r="J243" i="5" s="1"/>
  <c r="E244" i="5"/>
  <c r="F244" i="5"/>
  <c r="G244" i="5" s="1"/>
  <c r="J244" i="5" s="1"/>
  <c r="E245" i="5"/>
  <c r="F245" i="5"/>
  <c r="G245" i="5" s="1"/>
  <c r="E246" i="5"/>
  <c r="F246" i="5"/>
  <c r="G246" i="5" s="1"/>
  <c r="J246" i="5" s="1"/>
  <c r="K246" i="5" s="1"/>
  <c r="E247" i="5"/>
  <c r="E248" i="5"/>
  <c r="E249" i="5"/>
  <c r="H249" i="5" s="1"/>
  <c r="E250" i="5"/>
  <c r="H250" i="5" s="1"/>
  <c r="I250" i="5" s="1"/>
  <c r="L261" i="5" s="1"/>
  <c r="E251" i="5"/>
  <c r="H251" i="5" s="1"/>
  <c r="E252" i="5"/>
  <c r="E253" i="5"/>
  <c r="H253" i="5" s="1"/>
  <c r="E254" i="5"/>
  <c r="H254" i="5" s="1"/>
  <c r="E255" i="5"/>
  <c r="E256" i="5"/>
  <c r="H256" i="5" s="1"/>
  <c r="E257" i="5"/>
  <c r="H257" i="5" s="1"/>
  <c r="E258" i="5"/>
  <c r="H258" i="5" s="1"/>
  <c r="E259" i="5"/>
  <c r="H259" i="5" s="1"/>
  <c r="E260" i="5"/>
  <c r="H260" i="5" s="1"/>
  <c r="E279" i="5"/>
  <c r="F279" i="5" s="1"/>
  <c r="H279" i="5"/>
  <c r="I279" i="5" s="1"/>
  <c r="E280" i="5"/>
  <c r="F280" i="5" s="1"/>
  <c r="H280" i="5"/>
  <c r="I280" i="5" s="1"/>
  <c r="E281" i="5"/>
  <c r="H281" i="5"/>
  <c r="I281" i="5" s="1"/>
  <c r="E282" i="5"/>
  <c r="F282" i="5" s="1"/>
  <c r="H282" i="5"/>
  <c r="I282" i="5" s="1"/>
  <c r="E283" i="5"/>
  <c r="I283" i="5"/>
  <c r="E284" i="5"/>
  <c r="F284" i="5" s="1"/>
  <c r="G284" i="5" s="1"/>
  <c r="K309" i="5" s="1"/>
  <c r="L320" i="5" s="1"/>
  <c r="M320" i="5" s="1"/>
  <c r="N320" i="5" s="1"/>
  <c r="O320" i="5" s="1"/>
  <c r="P320" i="5" s="1"/>
  <c r="E285" i="5"/>
  <c r="F285" i="5" s="1"/>
  <c r="E286" i="5"/>
  <c r="F286" i="5" s="1"/>
  <c r="E287" i="5"/>
  <c r="F287" i="5" s="1"/>
  <c r="E288" i="5"/>
  <c r="F288" i="5" s="1"/>
  <c r="E289" i="5"/>
  <c r="F289" i="5" s="1"/>
  <c r="E290" i="5"/>
  <c r="F290" i="5" s="1"/>
  <c r="E291" i="5"/>
  <c r="F291" i="5" s="1"/>
  <c r="E292" i="5"/>
  <c r="F292" i="5" s="1"/>
  <c r="G292" i="5" s="1"/>
  <c r="K318" i="5" s="1"/>
  <c r="L329" i="5" s="1"/>
  <c r="M329" i="5" s="1"/>
  <c r="N329" i="5" s="1"/>
  <c r="O329" i="5" s="1"/>
  <c r="P329" i="5" s="1"/>
  <c r="E293" i="5"/>
  <c r="F293" i="5" s="1"/>
  <c r="E294" i="5"/>
  <c r="F294" i="5" s="1"/>
  <c r="E295" i="5"/>
  <c r="F295" i="5" s="1"/>
  <c r="G295" i="5" s="1"/>
  <c r="K320" i="5" s="1"/>
  <c r="L331" i="5" s="1"/>
  <c r="E296" i="5"/>
  <c r="F296" i="5" s="1"/>
  <c r="G296" i="5" s="1"/>
  <c r="K321" i="5" s="1"/>
  <c r="L332" i="5" s="1"/>
  <c r="E297" i="5"/>
  <c r="F297" i="5" s="1"/>
  <c r="D300" i="5"/>
  <c r="B319" i="5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F323" i="5"/>
  <c r="G323" i="5" s="1"/>
  <c r="G324" i="5"/>
  <c r="F326" i="5"/>
  <c r="H333" i="5"/>
  <c r="I333" i="5"/>
  <c r="K333" i="5"/>
  <c r="E334" i="5"/>
  <c r="F334" i="5"/>
  <c r="F335" i="5" s="1"/>
  <c r="F336" i="5" s="1"/>
  <c r="G334" i="5"/>
  <c r="H334" i="5"/>
  <c r="I334" i="5"/>
  <c r="I335" i="5" s="1"/>
  <c r="I336" i="5" s="1"/>
  <c r="K334" i="5"/>
  <c r="M334" i="5"/>
  <c r="N334" i="5" s="1"/>
  <c r="E335" i="5"/>
  <c r="H335" i="5"/>
  <c r="K335" i="5"/>
  <c r="E336" i="5"/>
  <c r="H336" i="5"/>
  <c r="K336" i="5"/>
  <c r="E337" i="5"/>
  <c r="F337" i="5"/>
  <c r="H337" i="5"/>
  <c r="I337" i="5"/>
  <c r="K337" i="5"/>
  <c r="E338" i="5"/>
  <c r="G338" i="5"/>
  <c r="H338" i="5"/>
  <c r="K338" i="5"/>
  <c r="E339" i="5"/>
  <c r="G339" i="5"/>
  <c r="H339" i="5"/>
  <c r="K339" i="5"/>
  <c r="E340" i="5"/>
  <c r="H340" i="5"/>
  <c r="K340" i="5"/>
  <c r="E341" i="5"/>
  <c r="G341" i="5"/>
  <c r="G345" i="5" s="1"/>
  <c r="H341" i="5"/>
  <c r="K341" i="5"/>
  <c r="E342" i="5"/>
  <c r="G342" i="5"/>
  <c r="H342" i="5"/>
  <c r="K342" i="5"/>
  <c r="E343" i="5"/>
  <c r="H343" i="5"/>
  <c r="K343" i="5"/>
  <c r="E344" i="5"/>
  <c r="H344" i="5"/>
  <c r="K344" i="5"/>
  <c r="L344" i="5"/>
  <c r="P344" i="5"/>
  <c r="E345" i="5"/>
  <c r="E346" i="5" s="1"/>
  <c r="H345" i="5"/>
  <c r="H346" i="5" s="1"/>
  <c r="K345" i="5"/>
  <c r="K346" i="5" s="1"/>
  <c r="L345" i="5"/>
  <c r="L346" i="5" s="1"/>
  <c r="L347" i="5" s="1"/>
  <c r="P346" i="5"/>
  <c r="E347" i="5"/>
  <c r="H347" i="5"/>
  <c r="K347" i="5"/>
  <c r="D348" i="5"/>
  <c r="E348" i="5"/>
  <c r="G348" i="5"/>
  <c r="H348" i="5"/>
  <c r="K348" i="5"/>
  <c r="L348" i="5"/>
  <c r="D349" i="5"/>
  <c r="E349" i="5"/>
  <c r="H349" i="5"/>
  <c r="K349" i="5"/>
  <c r="D350" i="5"/>
  <c r="E350" i="5"/>
  <c r="H350" i="5"/>
  <c r="K350" i="5"/>
  <c r="D351" i="5"/>
  <c r="E351" i="5"/>
  <c r="H351" i="5"/>
  <c r="K351" i="5"/>
  <c r="P351" i="5"/>
  <c r="P352" i="5" s="1"/>
  <c r="D353" i="5"/>
  <c r="E353" i="5"/>
  <c r="H353" i="5"/>
  <c r="K353" i="5"/>
  <c r="D354" i="5"/>
  <c r="E354" i="5"/>
  <c r="E355" i="5" s="1"/>
  <c r="H354" i="5"/>
  <c r="H355" i="5" s="1"/>
  <c r="K354" i="5"/>
  <c r="K355" i="5" s="1"/>
  <c r="K356" i="5" s="1"/>
  <c r="D355" i="5"/>
  <c r="D356" i="5"/>
  <c r="P360" i="5"/>
  <c r="P361" i="5"/>
  <c r="P362" i="5" s="1"/>
  <c r="E10" i="24"/>
  <c r="E11" i="24"/>
  <c r="E13" i="24"/>
  <c r="E15" i="24"/>
  <c r="E17" i="24"/>
  <c r="E18" i="24"/>
  <c r="E19" i="24"/>
  <c r="E27" i="24"/>
  <c r="E41" i="24"/>
  <c r="C74" i="4" s="1"/>
  <c r="I37" i="23"/>
  <c r="M159" i="7" l="1"/>
  <c r="K159" i="7"/>
  <c r="I159" i="7"/>
  <c r="Q159" i="7"/>
  <c r="O159" i="7"/>
  <c r="D357" i="5"/>
  <c r="H356" i="5"/>
  <c r="H357" i="5" s="1"/>
  <c r="K357" i="5"/>
  <c r="E356" i="5"/>
  <c r="E357" i="5" s="1"/>
  <c r="E34" i="24"/>
  <c r="E9" i="22" s="1"/>
  <c r="K27" i="4"/>
  <c r="M27" i="4"/>
  <c r="F27" i="4"/>
  <c r="G27" i="4"/>
  <c r="I48" i="4"/>
  <c r="E48" i="4"/>
  <c r="G45" i="1"/>
  <c r="C59" i="2" s="1"/>
  <c r="G51" i="1"/>
  <c r="C61" i="4" s="1"/>
  <c r="G141" i="7"/>
  <c r="G107" i="7"/>
  <c r="C41" i="4" s="1"/>
  <c r="C38" i="4"/>
  <c r="C27" i="4"/>
  <c r="O23" i="4"/>
  <c r="M23" i="4"/>
  <c r="J23" i="4"/>
  <c r="H23" i="4"/>
  <c r="E23" i="4"/>
  <c r="C43" i="4"/>
  <c r="G39" i="7"/>
  <c r="C28" i="4" s="1"/>
  <c r="N23" i="4"/>
  <c r="K23" i="4"/>
  <c r="I23" i="4"/>
  <c r="G23" i="4"/>
  <c r="C17" i="2"/>
  <c r="J12" i="4"/>
  <c r="P12" i="4" s="1"/>
  <c r="J103" i="6"/>
  <c r="C34" i="2"/>
  <c r="C34" i="4"/>
  <c r="C13" i="2"/>
  <c r="C13" i="4"/>
  <c r="Q103" i="6"/>
  <c r="C36" i="2"/>
  <c r="C36" i="4"/>
  <c r="C25" i="2"/>
  <c r="C25" i="4"/>
  <c r="O43" i="4"/>
  <c r="P43" i="4" s="1"/>
  <c r="O60" i="4"/>
  <c r="M60" i="4"/>
  <c r="K60" i="4"/>
  <c r="I60" i="4"/>
  <c r="G60" i="4"/>
  <c r="E60" i="4"/>
  <c r="S33" i="1"/>
  <c r="O58" i="4" s="1"/>
  <c r="Q33" i="1"/>
  <c r="M58" i="4" s="1"/>
  <c r="O33" i="1"/>
  <c r="K58" i="4" s="1"/>
  <c r="M33" i="1"/>
  <c r="I58" i="4" s="1"/>
  <c r="K33" i="1"/>
  <c r="G58" i="4" s="1"/>
  <c r="I33" i="1"/>
  <c r="E58" i="4" s="1"/>
  <c r="R8" i="1"/>
  <c r="N56" i="4" s="1"/>
  <c r="P8" i="1"/>
  <c r="L56" i="4" s="1"/>
  <c r="N8" i="1"/>
  <c r="L8" i="1"/>
  <c r="H56" i="4" s="1"/>
  <c r="J8" i="1"/>
  <c r="F56" i="4" s="1"/>
  <c r="H8" i="1"/>
  <c r="D56" i="4" s="1"/>
  <c r="N60" i="4"/>
  <c r="L60" i="4"/>
  <c r="J60" i="4"/>
  <c r="H60" i="4"/>
  <c r="F60" i="4"/>
  <c r="D60" i="4"/>
  <c r="R33" i="1"/>
  <c r="N58" i="4" s="1"/>
  <c r="P33" i="1"/>
  <c r="L58" i="4" s="1"/>
  <c r="N33" i="1"/>
  <c r="J58" i="4" s="1"/>
  <c r="L33" i="1"/>
  <c r="H58" i="4" s="1"/>
  <c r="J33" i="1"/>
  <c r="F58" i="4" s="1"/>
  <c r="H33" i="1"/>
  <c r="D58" i="4" s="1"/>
  <c r="S8" i="1"/>
  <c r="O56" i="4" s="1"/>
  <c r="Q8" i="1"/>
  <c r="O8" i="1"/>
  <c r="K56" i="4" s="1"/>
  <c r="M8" i="1"/>
  <c r="K8" i="1"/>
  <c r="G56" i="4" s="1"/>
  <c r="I8" i="1"/>
  <c r="H38" i="4"/>
  <c r="S141" i="7"/>
  <c r="J27" i="7"/>
  <c r="O25" i="4"/>
  <c r="M25" i="4"/>
  <c r="K25" i="4"/>
  <c r="I25" i="4"/>
  <c r="T85" i="7"/>
  <c r="N107" i="7"/>
  <c r="J41" i="4" s="1"/>
  <c r="L34" i="7"/>
  <c r="H27" i="7"/>
  <c r="N25" i="4"/>
  <c r="F38" i="4"/>
  <c r="T98" i="7"/>
  <c r="T99" i="7" s="1"/>
  <c r="H99" i="7"/>
  <c r="D39" i="4" s="1"/>
  <c r="J99" i="7"/>
  <c r="F39" i="4" s="1"/>
  <c r="L99" i="7"/>
  <c r="H39" i="4" s="1"/>
  <c r="N99" i="7"/>
  <c r="J39" i="4" s="1"/>
  <c r="R99" i="7"/>
  <c r="N39" i="4" s="1"/>
  <c r="S107" i="7"/>
  <c r="O41" i="4" s="1"/>
  <c r="T140" i="7"/>
  <c r="H141" i="7"/>
  <c r="S34" i="7"/>
  <c r="O27" i="4" s="1"/>
  <c r="T139" i="7"/>
  <c r="H34" i="7"/>
  <c r="D38" i="4"/>
  <c r="E38" i="4"/>
  <c r="L38" i="4"/>
  <c r="N141" i="7"/>
  <c r="R141" i="7"/>
  <c r="I103" i="6"/>
  <c r="R103" i="6"/>
  <c r="H97" i="6"/>
  <c r="G79" i="6"/>
  <c r="G103" i="6" s="1"/>
  <c r="E320" i="5"/>
  <c r="F320" i="5" s="1"/>
  <c r="G320" i="5" s="1"/>
  <c r="H320" i="5" s="1"/>
  <c r="I320" i="5" s="1"/>
  <c r="J320" i="5" s="1"/>
  <c r="E205" i="5"/>
  <c r="P363" i="5"/>
  <c r="G33" i="1"/>
  <c r="G8" i="1"/>
  <c r="T44" i="1"/>
  <c r="T42" i="1"/>
  <c r="T5" i="1"/>
  <c r="T6" i="1"/>
  <c r="T51" i="1"/>
  <c r="O61" i="4"/>
  <c r="M61" i="4"/>
  <c r="K61" i="4"/>
  <c r="I61" i="4"/>
  <c r="G61" i="4"/>
  <c r="E61" i="4"/>
  <c r="N61" i="4"/>
  <c r="L61" i="4"/>
  <c r="J61" i="4"/>
  <c r="H61" i="4"/>
  <c r="F61" i="4"/>
  <c r="D61" i="4"/>
  <c r="C23" i="2"/>
  <c r="E42" i="24"/>
  <c r="E13" i="22"/>
  <c r="C11" i="2"/>
  <c r="T73" i="7"/>
  <c r="T92" i="7"/>
  <c r="T95" i="7" s="1"/>
  <c r="C66" i="4"/>
  <c r="C67" i="4" s="1"/>
  <c r="H352" i="5"/>
  <c r="G288" i="5"/>
  <c r="K312" i="5" s="1"/>
  <c r="L323" i="5" s="1"/>
  <c r="M323" i="5" s="1"/>
  <c r="N323" i="5" s="1"/>
  <c r="O323" i="5" s="1"/>
  <c r="P323" i="5" s="1"/>
  <c r="E312" i="5"/>
  <c r="F312" i="5" s="1"/>
  <c r="G312" i="5" s="1"/>
  <c r="H312" i="5" s="1"/>
  <c r="I312" i="5" s="1"/>
  <c r="J312" i="5" s="1"/>
  <c r="L363" i="5"/>
  <c r="E318" i="5"/>
  <c r="F318" i="5" s="1"/>
  <c r="G318" i="5" s="1"/>
  <c r="H318" i="5" s="1"/>
  <c r="I318" i="5" s="1"/>
  <c r="J318" i="5" s="1"/>
  <c r="F352" i="5"/>
  <c r="K352" i="5"/>
  <c r="E300" i="5"/>
  <c r="T106" i="7"/>
  <c r="T107" i="7" s="1"/>
  <c r="T30" i="7"/>
  <c r="T14" i="7"/>
  <c r="R27" i="23"/>
  <c r="T96" i="6"/>
  <c r="T97" i="6" s="1"/>
  <c r="G290" i="5"/>
  <c r="K316" i="5" s="1"/>
  <c r="K317" i="5" s="1"/>
  <c r="L328" i="5" s="1"/>
  <c r="M328" i="5" s="1"/>
  <c r="N328" i="5" s="1"/>
  <c r="O328" i="5" s="1"/>
  <c r="P328" i="5" s="1"/>
  <c r="E316" i="5"/>
  <c r="F316" i="5" s="1"/>
  <c r="G316" i="5" s="1"/>
  <c r="H316" i="5" s="1"/>
  <c r="I316" i="5" s="1"/>
  <c r="J316" i="5" s="1"/>
  <c r="C26" i="2"/>
  <c r="G294" i="5"/>
  <c r="K319" i="5" s="1"/>
  <c r="L330" i="5" s="1"/>
  <c r="M330" i="5" s="1"/>
  <c r="N330" i="5" s="1"/>
  <c r="O330" i="5" s="1"/>
  <c r="P330" i="5" s="1"/>
  <c r="E319" i="5"/>
  <c r="F319" i="5" s="1"/>
  <c r="G319" i="5" s="1"/>
  <c r="H319" i="5" s="1"/>
  <c r="I319" i="5" s="1"/>
  <c r="J319" i="5" s="1"/>
  <c r="G286" i="5"/>
  <c r="K313" i="5" s="1"/>
  <c r="L324" i="5" s="1"/>
  <c r="M324" i="5" s="1"/>
  <c r="N324" i="5" s="1"/>
  <c r="O324" i="5" s="1"/>
  <c r="P324" i="5" s="1"/>
  <c r="E313" i="5"/>
  <c r="F313" i="5" s="1"/>
  <c r="G313" i="5" s="1"/>
  <c r="H313" i="5" s="1"/>
  <c r="I313" i="5" s="1"/>
  <c r="J313" i="5" s="1"/>
  <c r="G279" i="5"/>
  <c r="K304" i="5" s="1"/>
  <c r="E304" i="5"/>
  <c r="F304" i="5" s="1"/>
  <c r="G304" i="5" s="1"/>
  <c r="D336" i="5"/>
  <c r="E352" i="5"/>
  <c r="I352" i="5"/>
  <c r="E321" i="5"/>
  <c r="F321" i="5" s="1"/>
  <c r="G321" i="5" s="1"/>
  <c r="H321" i="5" s="1"/>
  <c r="I321" i="5" s="1"/>
  <c r="J321" i="5" s="1"/>
  <c r="E309" i="5"/>
  <c r="F309" i="5" s="1"/>
  <c r="G309" i="5" s="1"/>
  <c r="H309" i="5" s="1"/>
  <c r="I309" i="5" s="1"/>
  <c r="J309" i="5" s="1"/>
  <c r="F235" i="5"/>
  <c r="F237" i="5" s="1"/>
  <c r="T63" i="6"/>
  <c r="D344" i="5"/>
  <c r="D343" i="5"/>
  <c r="D342" i="5"/>
  <c r="D340" i="5"/>
  <c r="D339" i="5"/>
  <c r="D338" i="5"/>
  <c r="D337" i="5"/>
  <c r="D334" i="5"/>
  <c r="I300" i="5"/>
  <c r="T59" i="6"/>
  <c r="T5" i="6"/>
  <c r="T30" i="6" s="1"/>
  <c r="T26" i="7"/>
  <c r="G346" i="5"/>
  <c r="G352" i="5" s="1"/>
  <c r="G297" i="5"/>
  <c r="K322" i="5" s="1"/>
  <c r="L333" i="5" s="1"/>
  <c r="M333" i="5" s="1"/>
  <c r="N333" i="5" s="1"/>
  <c r="O333" i="5" s="1"/>
  <c r="P333" i="5" s="1"/>
  <c r="E322" i="5"/>
  <c r="G293" i="5"/>
  <c r="K315" i="5" s="1"/>
  <c r="L326" i="5" s="1"/>
  <c r="M326" i="5" s="1"/>
  <c r="N326" i="5" s="1"/>
  <c r="O326" i="5" s="1"/>
  <c r="P326" i="5" s="1"/>
  <c r="E315" i="5"/>
  <c r="G289" i="5"/>
  <c r="E317" i="5"/>
  <c r="G285" i="5"/>
  <c r="K310" i="5" s="1"/>
  <c r="L321" i="5" s="1"/>
  <c r="M321" i="5" s="1"/>
  <c r="N321" i="5" s="1"/>
  <c r="O321" i="5" s="1"/>
  <c r="P321" i="5" s="1"/>
  <c r="E310" i="5"/>
  <c r="G280" i="5"/>
  <c r="K305" i="5" s="1"/>
  <c r="F281" i="5"/>
  <c r="E305" i="5"/>
  <c r="I260" i="5"/>
  <c r="L271" i="5" s="1"/>
  <c r="I258" i="5"/>
  <c r="L269" i="5" s="1"/>
  <c r="I256" i="5"/>
  <c r="L267" i="5" s="1"/>
  <c r="I254" i="5"/>
  <c r="L265" i="5" s="1"/>
  <c r="H255" i="5"/>
  <c r="I249" i="5"/>
  <c r="L260" i="5" s="1"/>
  <c r="K243" i="5"/>
  <c r="L253" i="5"/>
  <c r="I234" i="5"/>
  <c r="H235" i="5"/>
  <c r="L224" i="5"/>
  <c r="M224" i="5" s="1"/>
  <c r="N224" i="5" s="1"/>
  <c r="O224" i="5" s="1"/>
  <c r="P224" i="5" s="1"/>
  <c r="K232" i="5"/>
  <c r="L243" i="5" s="1"/>
  <c r="M243" i="5" s="1"/>
  <c r="N243" i="5" s="1"/>
  <c r="O243" i="5" s="1"/>
  <c r="P243" i="5" s="1"/>
  <c r="I203" i="5"/>
  <c r="J203" i="5" s="1"/>
  <c r="K203" i="5" s="1"/>
  <c r="L203" i="5" s="1"/>
  <c r="M203" i="5" s="1"/>
  <c r="D323" i="5"/>
  <c r="D231" i="5"/>
  <c r="D220" i="5"/>
  <c r="D219" i="5"/>
  <c r="D376" i="5" s="1"/>
  <c r="D218" i="5"/>
  <c r="D217" i="5"/>
  <c r="D216" i="5"/>
  <c r="D215" i="5"/>
  <c r="D214" i="5"/>
  <c r="M332" i="5"/>
  <c r="N332" i="5" s="1"/>
  <c r="O332" i="5" s="1"/>
  <c r="P332" i="5" s="1"/>
  <c r="M331" i="5"/>
  <c r="N331" i="5" s="1"/>
  <c r="O331" i="5" s="1"/>
  <c r="P331" i="5" s="1"/>
  <c r="G291" i="5"/>
  <c r="K314" i="5" s="1"/>
  <c r="L325" i="5" s="1"/>
  <c r="M325" i="5" s="1"/>
  <c r="N325" i="5" s="1"/>
  <c r="O325" i="5" s="1"/>
  <c r="P325" i="5" s="1"/>
  <c r="E314" i="5"/>
  <c r="F314" i="5" s="1"/>
  <c r="G314" i="5" s="1"/>
  <c r="H314" i="5" s="1"/>
  <c r="I314" i="5" s="1"/>
  <c r="J314" i="5" s="1"/>
  <c r="G287" i="5"/>
  <c r="K311" i="5" s="1"/>
  <c r="L322" i="5" s="1"/>
  <c r="M322" i="5" s="1"/>
  <c r="N322" i="5" s="1"/>
  <c r="O322" i="5" s="1"/>
  <c r="P322" i="5" s="1"/>
  <c r="E311" i="5"/>
  <c r="G282" i="5"/>
  <c r="K308" i="5" s="1"/>
  <c r="L319" i="5" s="1"/>
  <c r="M319" i="5" s="1"/>
  <c r="N319" i="5" s="1"/>
  <c r="O319" i="5" s="1"/>
  <c r="P319" i="5" s="1"/>
  <c r="E308" i="5"/>
  <c r="F308" i="5" s="1"/>
  <c r="G308" i="5" s="1"/>
  <c r="H308" i="5" s="1"/>
  <c r="I308" i="5" s="1"/>
  <c r="J308" i="5" s="1"/>
  <c r="I259" i="5"/>
  <c r="L270" i="5" s="1"/>
  <c r="I257" i="5"/>
  <c r="L268" i="5" s="1"/>
  <c r="I253" i="5"/>
  <c r="L264" i="5" s="1"/>
  <c r="I251" i="5"/>
  <c r="L262" i="5" s="1"/>
  <c r="K244" i="5"/>
  <c r="J245" i="5"/>
  <c r="K245" i="5" s="1"/>
  <c r="M241" i="5"/>
  <c r="N241" i="5" s="1"/>
  <c r="O241" i="5" s="1"/>
  <c r="P241" i="5" s="1"/>
  <c r="M240" i="5"/>
  <c r="N240" i="5" s="1"/>
  <c r="O240" i="5" s="1"/>
  <c r="P240" i="5" s="1"/>
  <c r="M239" i="5"/>
  <c r="N239" i="5" s="1"/>
  <c r="O239" i="5" s="1"/>
  <c r="P239" i="5" s="1"/>
  <c r="M238" i="5"/>
  <c r="N238" i="5" s="1"/>
  <c r="O238" i="5" s="1"/>
  <c r="P238" i="5" s="1"/>
  <c r="H199" i="5"/>
  <c r="I199" i="5" s="1"/>
  <c r="J199" i="5" s="1"/>
  <c r="K199" i="5" s="1"/>
  <c r="L199" i="5" s="1"/>
  <c r="M199" i="5" s="1"/>
  <c r="N199" i="5" s="1"/>
  <c r="O199" i="5" s="1"/>
  <c r="P199" i="5" s="1"/>
  <c r="G198" i="5"/>
  <c r="H198" i="5" s="1"/>
  <c r="I198" i="5" s="1"/>
  <c r="J198" i="5" s="1"/>
  <c r="K198" i="5" s="1"/>
  <c r="L198" i="5" s="1"/>
  <c r="M198" i="5" s="1"/>
  <c r="N198" i="5" s="1"/>
  <c r="O198" i="5" s="1"/>
  <c r="P198" i="5" s="1"/>
  <c r="H186" i="5"/>
  <c r="I186" i="5" s="1"/>
  <c r="J186" i="5" s="1"/>
  <c r="O186" i="5" s="1"/>
  <c r="P186" i="5" s="1"/>
  <c r="K186" i="5"/>
  <c r="H184" i="5"/>
  <c r="D333" i="5"/>
  <c r="G326" i="5"/>
  <c r="H324" i="5"/>
  <c r="I324" i="5" s="1"/>
  <c r="J324" i="5" s="1"/>
  <c r="K324" i="5" s="1"/>
  <c r="L335" i="5" s="1"/>
  <c r="M335" i="5" s="1"/>
  <c r="N335" i="5" s="1"/>
  <c r="O335" i="5" s="1"/>
  <c r="P335" i="5" s="1"/>
  <c r="H300" i="5"/>
  <c r="H247" i="5"/>
  <c r="H246" i="5"/>
  <c r="H243" i="5"/>
  <c r="G236" i="5"/>
  <c r="H236" i="5" s="1"/>
  <c r="I236" i="5" s="1"/>
  <c r="J236" i="5" s="1"/>
  <c r="K236" i="5" s="1"/>
  <c r="L247" i="5" s="1"/>
  <c r="M247" i="5" s="1"/>
  <c r="N247" i="5" s="1"/>
  <c r="O247" i="5" s="1"/>
  <c r="P247" i="5" s="1"/>
  <c r="G235" i="5"/>
  <c r="H233" i="5"/>
  <c r="F200" i="5"/>
  <c r="G200" i="5" s="1"/>
  <c r="H200" i="5" s="1"/>
  <c r="I200" i="5" s="1"/>
  <c r="J200" i="5" s="1"/>
  <c r="K200" i="5" s="1"/>
  <c r="L200" i="5" s="1"/>
  <c r="M200" i="5" s="1"/>
  <c r="N200" i="5" s="1"/>
  <c r="O200" i="5" s="1"/>
  <c r="P200" i="5" s="1"/>
  <c r="F197" i="5"/>
  <c r="I188" i="5"/>
  <c r="J188" i="5" s="1"/>
  <c r="K188" i="5" s="1"/>
  <c r="L188" i="5" s="1"/>
  <c r="M188" i="5" s="1"/>
  <c r="N188" i="5" s="1"/>
  <c r="O188" i="5" s="1"/>
  <c r="P188" i="5" s="1"/>
  <c r="T21" i="7"/>
  <c r="T23" i="7" s="1"/>
  <c r="T39" i="7"/>
  <c r="T116" i="7"/>
  <c r="T117" i="7" s="1"/>
  <c r="J159" i="7" l="1"/>
  <c r="G159" i="7"/>
  <c r="L159" i="7"/>
  <c r="R159" i="7"/>
  <c r="S159" i="7"/>
  <c r="H159" i="7"/>
  <c r="N159" i="7"/>
  <c r="R30" i="23"/>
  <c r="R39" i="23" s="1"/>
  <c r="T79" i="6"/>
  <c r="T103" i="6" s="1"/>
  <c r="H103" i="6"/>
  <c r="S103" i="6"/>
  <c r="O9" i="4"/>
  <c r="O18" i="4" s="1"/>
  <c r="D213" i="5"/>
  <c r="H358" i="5"/>
  <c r="D346" i="5"/>
  <c r="D345" i="5"/>
  <c r="K358" i="5"/>
  <c r="E358" i="5"/>
  <c r="C60" i="2"/>
  <c r="H27" i="4"/>
  <c r="N48" i="4"/>
  <c r="D48" i="4"/>
  <c r="O48" i="4"/>
  <c r="J48" i="4"/>
  <c r="T45" i="1"/>
  <c r="D27" i="4"/>
  <c r="C60" i="4"/>
  <c r="T34" i="7"/>
  <c r="C41" i="2"/>
  <c r="C43" i="2"/>
  <c r="P23" i="4"/>
  <c r="P58" i="4"/>
  <c r="T141" i="7"/>
  <c r="M66" i="4"/>
  <c r="M67" i="4" s="1"/>
  <c r="C9" i="2"/>
  <c r="C57" i="2"/>
  <c r="C58" i="4"/>
  <c r="P17" i="4"/>
  <c r="P39" i="4"/>
  <c r="C39" i="2"/>
  <c r="C39" i="4"/>
  <c r="G38" i="4"/>
  <c r="P38" i="4" s="1"/>
  <c r="C48" i="2"/>
  <c r="C48" i="4"/>
  <c r="C12" i="2"/>
  <c r="C12" i="4"/>
  <c r="P41" i="4"/>
  <c r="M60" i="1"/>
  <c r="Q60" i="1"/>
  <c r="K60" i="1"/>
  <c r="O60" i="1"/>
  <c r="S60" i="1"/>
  <c r="H60" i="1"/>
  <c r="L60" i="1"/>
  <c r="P60" i="1"/>
  <c r="J60" i="1"/>
  <c r="N60" i="1"/>
  <c r="R60" i="1"/>
  <c r="M56" i="4"/>
  <c r="J56" i="4"/>
  <c r="J63" i="4" s="1"/>
  <c r="I56" i="4"/>
  <c r="I63" i="4" s="1"/>
  <c r="E56" i="4"/>
  <c r="E63" i="4" s="1"/>
  <c r="I60" i="1"/>
  <c r="C55" i="2"/>
  <c r="C56" i="4"/>
  <c r="P61" i="4"/>
  <c r="P60" i="4"/>
  <c r="L327" i="5"/>
  <c r="M327" i="5" s="1"/>
  <c r="N327" i="5" s="1"/>
  <c r="O327" i="5" s="1"/>
  <c r="P327" i="5" s="1"/>
  <c r="D322" i="5"/>
  <c r="D309" i="5"/>
  <c r="G42" i="23"/>
  <c r="T8" i="1"/>
  <c r="T33" i="1"/>
  <c r="D26" i="4"/>
  <c r="L25" i="4"/>
  <c r="F26" i="4"/>
  <c r="T74" i="7"/>
  <c r="T27" i="7"/>
  <c r="P13" i="4"/>
  <c r="G237" i="5"/>
  <c r="I9" i="4"/>
  <c r="I18" i="4" s="1"/>
  <c r="H9" i="4"/>
  <c r="H18" i="4" s="1"/>
  <c r="K9" i="4"/>
  <c r="K18" i="4" s="1"/>
  <c r="L9" i="4"/>
  <c r="L18" i="4" s="1"/>
  <c r="D9" i="4"/>
  <c r="G9" i="4"/>
  <c r="G18" i="4" s="1"/>
  <c r="J9" i="4"/>
  <c r="J18" i="4" s="1"/>
  <c r="M9" i="4"/>
  <c r="M18" i="4" s="1"/>
  <c r="N9" i="4"/>
  <c r="N18" i="4" s="1"/>
  <c r="P14" i="4"/>
  <c r="C73" i="4"/>
  <c r="C65" i="2"/>
  <c r="C66" i="2" s="1"/>
  <c r="E29" i="22" s="1"/>
  <c r="E41" i="23" s="1"/>
  <c r="E43" i="23" s="1"/>
  <c r="C38" i="2"/>
  <c r="D335" i="5"/>
  <c r="D312" i="5"/>
  <c r="Q188" i="5"/>
  <c r="D221" i="5"/>
  <c r="D310" i="5"/>
  <c r="D341" i="5"/>
  <c r="H63" i="4"/>
  <c r="C28" i="2"/>
  <c r="D34" i="4"/>
  <c r="P34" i="4" s="1"/>
  <c r="P10" i="4"/>
  <c r="C9" i="4"/>
  <c r="C27" i="2"/>
  <c r="G63" i="4"/>
  <c r="F42" i="23"/>
  <c r="D66" i="4"/>
  <c r="D67" i="4" s="1"/>
  <c r="Q200" i="5"/>
  <c r="Q198" i="5"/>
  <c r="Q199" i="5"/>
  <c r="D227" i="5"/>
  <c r="D228" i="5"/>
  <c r="D229" i="5"/>
  <c r="D230" i="5"/>
  <c r="D320" i="5"/>
  <c r="D321" i="5"/>
  <c r="F63" i="4"/>
  <c r="K63" i="4"/>
  <c r="E25" i="4"/>
  <c r="M42" i="23"/>
  <c r="K66" i="4"/>
  <c r="K67" i="4" s="1"/>
  <c r="I42" i="23"/>
  <c r="G66" i="4"/>
  <c r="G67" i="4" s="1"/>
  <c r="J42" i="23"/>
  <c r="H66" i="4"/>
  <c r="H67" i="4" s="1"/>
  <c r="L66" i="4"/>
  <c r="L67" i="4" s="1"/>
  <c r="N42" i="23"/>
  <c r="F9" i="4"/>
  <c r="F18" i="4" s="1"/>
  <c r="G197" i="5"/>
  <c r="F205" i="5"/>
  <c r="I233" i="5"/>
  <c r="H237" i="5"/>
  <c r="I246" i="5"/>
  <c r="L257" i="5" s="1"/>
  <c r="H326" i="5"/>
  <c r="F311" i="5"/>
  <c r="G311" i="5" s="1"/>
  <c r="H311" i="5" s="1"/>
  <c r="I311" i="5" s="1"/>
  <c r="J311" i="5" s="1"/>
  <c r="E327" i="5"/>
  <c r="O203" i="5"/>
  <c r="P203" i="5" s="1"/>
  <c r="N203" i="5"/>
  <c r="J234" i="5"/>
  <c r="I235" i="5"/>
  <c r="I255" i="5"/>
  <c r="L266" i="5" s="1"/>
  <c r="L315" i="5"/>
  <c r="F283" i="5"/>
  <c r="G281" i="5"/>
  <c r="F310" i="5"/>
  <c r="G310" i="5" s="1"/>
  <c r="H310" i="5" s="1"/>
  <c r="I310" i="5" s="1"/>
  <c r="J310" i="5" s="1"/>
  <c r="F317" i="5"/>
  <c r="G317" i="5" s="1"/>
  <c r="H317" i="5" s="1"/>
  <c r="I317" i="5" s="1"/>
  <c r="J317" i="5" s="1"/>
  <c r="F315" i="5"/>
  <c r="G315" i="5" s="1"/>
  <c r="H315" i="5" s="1"/>
  <c r="I315" i="5" s="1"/>
  <c r="J315" i="5" s="1"/>
  <c r="F322" i="5"/>
  <c r="G322" i="5" s="1"/>
  <c r="H322" i="5" s="1"/>
  <c r="I322" i="5" s="1"/>
  <c r="J322" i="5" s="1"/>
  <c r="N63" i="4"/>
  <c r="P74" i="4"/>
  <c r="D225" i="5"/>
  <c r="K261" i="5"/>
  <c r="D63" i="4"/>
  <c r="L63" i="4"/>
  <c r="G60" i="1"/>
  <c r="O63" i="4"/>
  <c r="P24" i="4"/>
  <c r="K42" i="23"/>
  <c r="I66" i="4"/>
  <c r="I67" i="4" s="1"/>
  <c r="F66" i="4"/>
  <c r="F67" i="4" s="1"/>
  <c r="H42" i="23"/>
  <c r="L42" i="23"/>
  <c r="J66" i="4"/>
  <c r="J67" i="4" s="1"/>
  <c r="N66" i="4"/>
  <c r="N67" i="4" s="1"/>
  <c r="P42" i="23"/>
  <c r="E26" i="4"/>
  <c r="E9" i="4"/>
  <c r="E18" i="4" s="1"/>
  <c r="I243" i="5"/>
  <c r="L254" i="5" s="1"/>
  <c r="H244" i="5"/>
  <c r="I247" i="5"/>
  <c r="D236" i="5" s="1"/>
  <c r="H248" i="5"/>
  <c r="I184" i="5"/>
  <c r="L186" i="5"/>
  <c r="M186" i="5"/>
  <c r="N186" i="5" s="1"/>
  <c r="H304" i="5"/>
  <c r="E306" i="5"/>
  <c r="F305" i="5"/>
  <c r="K306" i="5"/>
  <c r="L316" i="5"/>
  <c r="D313" i="5"/>
  <c r="D324" i="5"/>
  <c r="D308" i="5"/>
  <c r="J261" i="5"/>
  <c r="D69" i="4" l="1"/>
  <c r="D72" i="4"/>
  <c r="T159" i="7"/>
  <c r="D347" i="5"/>
  <c r="L258" i="5"/>
  <c r="P27" i="4"/>
  <c r="P48" i="4"/>
  <c r="C53" i="4"/>
  <c r="D18" i="4"/>
  <c r="O42" i="23"/>
  <c r="O66" i="4"/>
  <c r="O67" i="4" s="1"/>
  <c r="C62" i="2"/>
  <c r="E66" i="4"/>
  <c r="E67" i="4" s="1"/>
  <c r="C18" i="2"/>
  <c r="E23" i="22" s="1"/>
  <c r="P56" i="4"/>
  <c r="Q42" i="23"/>
  <c r="M63" i="4"/>
  <c r="C52" i="2"/>
  <c r="T60" i="1"/>
  <c r="C18" i="4"/>
  <c r="H53" i="4"/>
  <c r="D53" i="4"/>
  <c r="P26" i="4"/>
  <c r="D352" i="5"/>
  <c r="D358" i="5" s="1"/>
  <c r="D192" i="5"/>
  <c r="D205" i="5" s="1"/>
  <c r="R42" i="23"/>
  <c r="G53" i="4"/>
  <c r="Q186" i="5"/>
  <c r="M316" i="5"/>
  <c r="N316" i="5" s="1"/>
  <c r="O316" i="5" s="1"/>
  <c r="P316" i="5" s="1"/>
  <c r="G305" i="5"/>
  <c r="E307" i="5"/>
  <c r="F307" i="5" s="1"/>
  <c r="G307" i="5" s="1"/>
  <c r="H307" i="5" s="1"/>
  <c r="I307" i="5" s="1"/>
  <c r="J307" i="5" s="1"/>
  <c r="F306" i="5"/>
  <c r="G306" i="5" s="1"/>
  <c r="H306" i="5" s="1"/>
  <c r="I306" i="5" s="1"/>
  <c r="J306" i="5" s="1"/>
  <c r="I304" i="5"/>
  <c r="I248" i="5"/>
  <c r="L259" i="5" s="1"/>
  <c r="H252" i="5"/>
  <c r="P28" i="4"/>
  <c r="G283" i="5"/>
  <c r="G300" i="5" s="1"/>
  <c r="F300" i="5"/>
  <c r="K234" i="5"/>
  <c r="D223" i="5" s="1"/>
  <c r="J235" i="5"/>
  <c r="P25" i="4"/>
  <c r="U61" i="1"/>
  <c r="K262" i="5"/>
  <c r="K307" i="5"/>
  <c r="L318" i="5" s="1"/>
  <c r="L317" i="5"/>
  <c r="J184" i="5"/>
  <c r="I244" i="5"/>
  <c r="L255" i="5" s="1"/>
  <c r="H245" i="5"/>
  <c r="P11" i="4"/>
  <c r="P9" i="4"/>
  <c r="P50" i="4"/>
  <c r="M315" i="5"/>
  <c r="F327" i="5"/>
  <c r="E328" i="5"/>
  <c r="E329" i="5" s="1"/>
  <c r="I326" i="5"/>
  <c r="I237" i="5"/>
  <c r="J233" i="5"/>
  <c r="H197" i="5"/>
  <c r="G205" i="5"/>
  <c r="D311" i="5"/>
  <c r="Q203" i="5"/>
  <c r="D232" i="5"/>
  <c r="P18" i="4" l="1"/>
  <c r="E27" i="22"/>
  <c r="E25" i="22"/>
  <c r="P66" i="4"/>
  <c r="P67" i="4" s="1"/>
  <c r="F53" i="4"/>
  <c r="E53" i="4"/>
  <c r="L336" i="5"/>
  <c r="E325" i="5"/>
  <c r="E330" i="5" s="1"/>
  <c r="P63" i="4"/>
  <c r="C63" i="4"/>
  <c r="P73" i="4"/>
  <c r="J53" i="4"/>
  <c r="I53" i="4"/>
  <c r="L53" i="4"/>
  <c r="K233" i="5"/>
  <c r="D222" i="5" s="1"/>
  <c r="J237" i="5"/>
  <c r="J326" i="5"/>
  <c r="G327" i="5"/>
  <c r="I245" i="5"/>
  <c r="L256" i="5" s="1"/>
  <c r="H261" i="5"/>
  <c r="K184" i="5"/>
  <c r="M318" i="5"/>
  <c r="N318" i="5" s="1"/>
  <c r="O318" i="5" s="1"/>
  <c r="P318" i="5" s="1"/>
  <c r="I252" i="5"/>
  <c r="L263" i="5" s="1"/>
  <c r="H305" i="5"/>
  <c r="G325" i="5"/>
  <c r="K53" i="4"/>
  <c r="K325" i="5"/>
  <c r="I197" i="5"/>
  <c r="H205" i="5"/>
  <c r="F328" i="5"/>
  <c r="G328" i="5" s="1"/>
  <c r="H328" i="5" s="1"/>
  <c r="I328" i="5" s="1"/>
  <c r="J328" i="5" s="1"/>
  <c r="K328" i="5" s="1"/>
  <c r="L339" i="5" s="1"/>
  <c r="N315" i="5"/>
  <c r="M317" i="5"/>
  <c r="N317" i="5" s="1"/>
  <c r="O317" i="5" s="1"/>
  <c r="P317" i="5" s="1"/>
  <c r="M53" i="4"/>
  <c r="K235" i="5"/>
  <c r="D224" i="5" s="1"/>
  <c r="L245" i="5"/>
  <c r="J304" i="5"/>
  <c r="F325" i="5"/>
  <c r="D305" i="5"/>
  <c r="P72" i="4" l="1"/>
  <c r="D317" i="5"/>
  <c r="L272" i="5"/>
  <c r="M245" i="5"/>
  <c r="L246" i="5"/>
  <c r="N53" i="4"/>
  <c r="O315" i="5"/>
  <c r="N336" i="5"/>
  <c r="J197" i="5"/>
  <c r="I205" i="5"/>
  <c r="I305" i="5"/>
  <c r="H325" i="5"/>
  <c r="L184" i="5"/>
  <c r="H327" i="5"/>
  <c r="G329" i="5"/>
  <c r="G330" i="5" s="1"/>
  <c r="K326" i="5"/>
  <c r="M339" i="5"/>
  <c r="N339" i="5" s="1"/>
  <c r="O339" i="5" s="1"/>
  <c r="P339" i="5" s="1"/>
  <c r="K237" i="5"/>
  <c r="D226" i="5" s="1"/>
  <c r="L244" i="5"/>
  <c r="D306" i="5"/>
  <c r="M336" i="5"/>
  <c r="D307" i="5"/>
  <c r="I261" i="5"/>
  <c r="I262" i="5" s="1"/>
  <c r="J263" i="5" s="1"/>
  <c r="F329" i="5"/>
  <c r="L337" i="5" l="1"/>
  <c r="D315" i="5"/>
  <c r="M184" i="5"/>
  <c r="J305" i="5"/>
  <c r="J325" i="5" s="1"/>
  <c r="I325" i="5"/>
  <c r="O336" i="5"/>
  <c r="P315" i="5"/>
  <c r="F330" i="5"/>
  <c r="M244" i="5"/>
  <c r="L248" i="5"/>
  <c r="I327" i="5"/>
  <c r="H329" i="5"/>
  <c r="H330" i="5" s="1"/>
  <c r="K197" i="5"/>
  <c r="J205" i="5"/>
  <c r="O53" i="4"/>
  <c r="M246" i="5"/>
  <c r="N245" i="5"/>
  <c r="D328" i="5"/>
  <c r="D314" i="5" l="1"/>
  <c r="O245" i="5"/>
  <c r="N246" i="5"/>
  <c r="J327" i="5"/>
  <c r="I329" i="5"/>
  <c r="I330" i="5" s="1"/>
  <c r="M248" i="5"/>
  <c r="N244" i="5"/>
  <c r="N184" i="5"/>
  <c r="L197" i="5"/>
  <c r="K205" i="5"/>
  <c r="P336" i="5"/>
  <c r="D304" i="5"/>
  <c r="M337" i="5"/>
  <c r="N337" i="5" l="1"/>
  <c r="M197" i="5"/>
  <c r="L205" i="5"/>
  <c r="O244" i="5"/>
  <c r="N248" i="5"/>
  <c r="O246" i="5"/>
  <c r="P245" i="5"/>
  <c r="O184" i="5"/>
  <c r="K327" i="5"/>
  <c r="D316" i="5" s="1"/>
  <c r="J329" i="5"/>
  <c r="L338" i="5" l="1"/>
  <c r="K329" i="5"/>
  <c r="K330" i="5" s="1"/>
  <c r="P184" i="5"/>
  <c r="O337" i="5"/>
  <c r="J330" i="5"/>
  <c r="D318" i="5"/>
  <c r="P246" i="5"/>
  <c r="D235" i="5" s="1"/>
  <c r="D234" i="5"/>
  <c r="O248" i="5"/>
  <c r="P244" i="5"/>
  <c r="N197" i="5"/>
  <c r="M205" i="5"/>
  <c r="D319" i="5" l="1"/>
  <c r="D325" i="5" s="1"/>
  <c r="O197" i="5"/>
  <c r="N205" i="5"/>
  <c r="P248" i="5"/>
  <c r="D233" i="5"/>
  <c r="D237" i="5" s="1"/>
  <c r="P337" i="5"/>
  <c r="Q184" i="5"/>
  <c r="M338" i="5"/>
  <c r="L340" i="5"/>
  <c r="L341" i="5" s="1"/>
  <c r="N338" i="5" l="1"/>
  <c r="M340" i="5"/>
  <c r="M341" i="5" s="1"/>
  <c r="D326" i="5"/>
  <c r="P197" i="5"/>
  <c r="O205" i="5"/>
  <c r="Q197" i="5" l="1"/>
  <c r="Q205" i="5" s="1"/>
  <c r="P205" i="5"/>
  <c r="O338" i="5"/>
  <c r="N340" i="5"/>
  <c r="N341" i="5" s="1"/>
  <c r="P338" i="5" l="1"/>
  <c r="O340" i="5"/>
  <c r="O341" i="5" s="1"/>
  <c r="P340" i="5" l="1"/>
  <c r="P341" i="5" s="1"/>
  <c r="D327" i="5"/>
  <c r="D329" i="5" s="1"/>
  <c r="D330" i="5" s="1"/>
  <c r="D331" i="5" s="1"/>
  <c r="D5" i="4" l="1"/>
  <c r="D6" i="4" l="1"/>
  <c r="F5" i="4"/>
  <c r="F6" i="4" s="1"/>
  <c r="E5" i="4"/>
  <c r="E6" i="4" s="1"/>
  <c r="E69" i="4" s="1"/>
  <c r="D75" i="4" l="1"/>
  <c r="F69" i="4"/>
  <c r="F72" i="4"/>
  <c r="E72" i="4"/>
  <c r="G5" i="4"/>
  <c r="G6" i="4" s="1"/>
  <c r="D77" i="4" l="1"/>
  <c r="G69" i="4"/>
  <c r="G72" i="4"/>
  <c r="H5" i="4"/>
  <c r="H6" i="4" l="1"/>
  <c r="I5" i="4"/>
  <c r="I6" i="4" s="1"/>
  <c r="I72" i="4" l="1"/>
  <c r="I69" i="4"/>
  <c r="H72" i="4"/>
  <c r="H69" i="4"/>
  <c r="K5" i="4" l="1"/>
  <c r="K6" i="4" l="1"/>
  <c r="M292" i="5"/>
  <c r="L5" i="4"/>
  <c r="L6" i="4" s="1"/>
  <c r="L69" i="4" l="1"/>
  <c r="L72" i="4"/>
  <c r="K72" i="4"/>
  <c r="K69" i="4"/>
  <c r="M5" i="4"/>
  <c r="M6" i="4" s="1"/>
  <c r="M72" i="4" l="1"/>
  <c r="M69" i="4"/>
  <c r="N5" i="4"/>
  <c r="N6" i="4" s="1"/>
  <c r="N69" i="4" l="1"/>
  <c r="N72" i="4"/>
  <c r="P21" i="4" l="1"/>
  <c r="P53" i="4" s="1"/>
  <c r="O5" i="4"/>
  <c r="J5" i="4"/>
  <c r="J6" i="4" l="1"/>
  <c r="J69" i="4" s="1"/>
  <c r="P5" i="4"/>
  <c r="O6" i="4"/>
  <c r="O72" i="4" s="1"/>
  <c r="P6" i="4"/>
  <c r="D9" i="5"/>
  <c r="D20" i="5" s="1"/>
  <c r="J72" i="4" l="1"/>
  <c r="O69" i="4"/>
  <c r="C5" i="4" l="1"/>
  <c r="C6" i="4" s="1"/>
  <c r="C5" i="2"/>
  <c r="C6" i="2" s="1"/>
  <c r="C68" i="2" s="1"/>
  <c r="E5" i="24" s="1"/>
  <c r="E21" i="22" l="1"/>
  <c r="E7" i="24" l="1"/>
  <c r="C72" i="4" s="1"/>
  <c r="E31" i="22"/>
  <c r="F27" i="22"/>
  <c r="E7" i="22" l="1"/>
  <c r="E15" i="22" s="1"/>
  <c r="D7" i="22" s="1"/>
  <c r="F31" i="22"/>
  <c r="D29" i="22"/>
  <c r="D23" i="22"/>
  <c r="D25" i="22"/>
  <c r="D27" i="22"/>
  <c r="D21" i="22"/>
  <c r="E44" i="24"/>
  <c r="C75" i="4"/>
  <c r="D11" i="22" l="1"/>
  <c r="F32" i="22"/>
  <c r="D13" i="22"/>
  <c r="F29" i="22"/>
  <c r="D45" i="23" s="1"/>
  <c r="D46" i="23" s="1"/>
  <c r="D9" i="22"/>
  <c r="E75" i="4"/>
  <c r="K75" i="4"/>
  <c r="I75" i="4"/>
  <c r="G75" i="4"/>
  <c r="F75" i="4"/>
  <c r="N75" i="4"/>
  <c r="M75" i="4"/>
  <c r="L75" i="4"/>
  <c r="H75" i="4"/>
  <c r="J75" i="4"/>
  <c r="O75" i="4"/>
  <c r="D31" i="22"/>
  <c r="P75" i="4" l="1"/>
  <c r="E77" i="4" l="1"/>
  <c r="F77" i="4" s="1"/>
  <c r="G77" i="4" s="1"/>
  <c r="H77" i="4" s="1"/>
  <c r="I77" i="4" s="1"/>
  <c r="J77" i="4" s="1"/>
  <c r="K77" i="4" s="1"/>
  <c r="L77" i="4" s="1"/>
  <c r="M77" i="4" s="1"/>
  <c r="N77" i="4" s="1"/>
  <c r="O77" i="4" s="1"/>
  <c r="P77" i="4" s="1"/>
</calcChain>
</file>

<file path=xl/sharedStrings.xml><?xml version="1.0" encoding="utf-8"?>
<sst xmlns="http://schemas.openxmlformats.org/spreadsheetml/2006/main" count="840" uniqueCount="492">
  <si>
    <t>TOTAL</t>
  </si>
  <si>
    <t>PU</t>
  </si>
  <si>
    <t>PART.</t>
  </si>
  <si>
    <t>SERVICIOS PERSONALES</t>
  </si>
  <si>
    <t>SUELDOS INTEGRADOS</t>
  </si>
  <si>
    <t>MATERIALES Y SUMINISTROS</t>
  </si>
  <si>
    <t>MATERIAL DE LIMPIEZA</t>
  </si>
  <si>
    <t>COMBUSTIBLES</t>
  </si>
  <si>
    <t>LUBRICANTES Y ADITIVOS</t>
  </si>
  <si>
    <t>SERVICIOS GENERALES</t>
  </si>
  <si>
    <t>OTROS IMPUESTOS Y DERECHOS</t>
  </si>
  <si>
    <t>PASAJES</t>
  </si>
  <si>
    <t>VIATICOS</t>
  </si>
  <si>
    <t>BIENES MUEBLES E INMUEBLES</t>
  </si>
  <si>
    <t>GRAN TOTAL</t>
  </si>
  <si>
    <t>GASTO DE INVERSION</t>
  </si>
  <si>
    <t>CONTRATACION DE PROYECTOS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</si>
  <si>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</si>
  <si>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</si>
  <si>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</si>
  <si>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</si>
  <si>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</si>
  <si>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</si>
  <si>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</si>
  <si>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</si>
  <si>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</si>
  <si>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</si>
  <si>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</si>
  <si>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</si>
  <si>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</si>
  <si>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CONCEPTO</t>
  </si>
  <si>
    <t>CANTIDAD</t>
  </si>
  <si>
    <t>IMPORTE</t>
  </si>
  <si>
    <t>TOTAL BIENES MUEBLES E INMUEBLES</t>
  </si>
  <si>
    <t>TOTAL SERVICIOS PERSONALES</t>
  </si>
  <si>
    <t>SUBTOTAL MATERIAL DE LIMPIEZA</t>
  </si>
  <si>
    <t>TOTAL MATERIALES Y SUMINISTROS</t>
  </si>
  <si>
    <t>ARRENDAMIENTO DE MUEBLES, MAQUINARIA Y EQUIPO</t>
  </si>
  <si>
    <t>SUBTOTAL ARRENDAMIENTO DE MUEBLES, MAQUINARIA Y EQUIPO</t>
  </si>
  <si>
    <t>ENVIOS Y PAQUETERIA</t>
  </si>
  <si>
    <t>MANTENIMIENTO MOBILIARIO Y EQUIPO</t>
  </si>
  <si>
    <t>SUBTOTAL OTROS IMPUESTOS Y DERECHOS</t>
  </si>
  <si>
    <t>MANTENIMIENTO VEHICULOS</t>
  </si>
  <si>
    <t>TOTAL SERVICIOS GENERALES</t>
  </si>
  <si>
    <t>PROGRAMADO</t>
  </si>
  <si>
    <t>SUBTOTAL LUBRICANTES Y ADITIVOS</t>
  </si>
  <si>
    <t>SUELDOS</t>
  </si>
  <si>
    <t>HONORARIOS Y COMISIONES</t>
  </si>
  <si>
    <t>SALARIOS AL PERSONAL EVENTUAL</t>
  </si>
  <si>
    <t>REMUNERACIONES DIVERSAS</t>
  </si>
  <si>
    <t>COMP. POR SERV. DE CARAC. SOCIAL</t>
  </si>
  <si>
    <t>RETRIB. POR SERVICIOS DE CARAC. SOCIAL</t>
  </si>
  <si>
    <t>PRIMA QUINCENAL</t>
  </si>
  <si>
    <t>GRATIFICACION DE FIN DE AÑO</t>
  </si>
  <si>
    <t>COMP. ADIC.X SERV. ESP.PSNL. PE</t>
  </si>
  <si>
    <t>INDEMNIZACIONES AL PERSONAL</t>
  </si>
  <si>
    <t>HORAS EXTRAORDINARIAS</t>
  </si>
  <si>
    <t>CUOTAS POR SERVICIOS MEDICOS</t>
  </si>
  <si>
    <t>SEGURO DE VIDA ISSSTESON</t>
  </si>
  <si>
    <t>PLAN DE PREVISION SOCIAL</t>
  </si>
  <si>
    <t>SEGUROS (FIDEICOMISO)</t>
  </si>
  <si>
    <t>PREVISION INCREMENTO DE SUELDOS</t>
  </si>
  <si>
    <t>NUM</t>
  </si>
  <si>
    <t>SUBSIDIO MUNICIPAL</t>
  </si>
  <si>
    <t>BONO DE COLABORACION Y ASISTENCIA</t>
  </si>
  <si>
    <t>PRODUCTOS</t>
  </si>
  <si>
    <t>RESUMEN:</t>
  </si>
  <si>
    <t>SOFTWARE</t>
  </si>
  <si>
    <t>SUBTOTAL SOFTWARE</t>
  </si>
  <si>
    <t>TOTAL GASTO DE INVERSION</t>
  </si>
  <si>
    <t>OTROS INGRESOS</t>
  </si>
  <si>
    <t>IMPRESIONES Y PUBLICACIONES OFICIALES</t>
  </si>
  <si>
    <t>%</t>
  </si>
  <si>
    <t>INGRESOS:</t>
  </si>
  <si>
    <t>SALDO</t>
  </si>
  <si>
    <t>MAQUINARIA Y EQUIPO INDUSTRIAL</t>
  </si>
  <si>
    <t>SUBTOTAL MAQUINARIA Y EQUIPO INDUSTRIAL</t>
  </si>
  <si>
    <t>SUBSIDIOS</t>
  </si>
  <si>
    <t>SERVICIOS</t>
  </si>
  <si>
    <t>P.U.</t>
  </si>
  <si>
    <t>CANT.</t>
  </si>
  <si>
    <t>OTROS SUBSIDIOS</t>
  </si>
  <si>
    <t xml:space="preserve">PREVISION DE GASOLINA </t>
  </si>
  <si>
    <t>FUMIGACION DE OFICINA</t>
  </si>
  <si>
    <t>SUBTOTAL IMPRESIONES Y PUBLICACIONES OFICIALES</t>
  </si>
  <si>
    <t>DISEÑO DE NORMATIVIDAD E INSTRUMENTOS JURIDICOS</t>
  </si>
  <si>
    <t>IM1</t>
  </si>
  <si>
    <t>IM2</t>
  </si>
  <si>
    <t>IM3</t>
  </si>
  <si>
    <t>IM4</t>
  </si>
  <si>
    <t>IM5</t>
  </si>
  <si>
    <t>IM6</t>
  </si>
  <si>
    <t>6000 GASTO DE INVERSION</t>
  </si>
  <si>
    <t>3000 SERVICIOS GENERALES</t>
  </si>
  <si>
    <t>2000 MATERIALES Y SUMINISTROS</t>
  </si>
  <si>
    <t>5000 BIENES MUEBLES E INMUEBLES</t>
  </si>
  <si>
    <t>FLUJO DE INGRESOS Y EGRESOS</t>
  </si>
  <si>
    <t>aguinaldo</t>
  </si>
  <si>
    <t>prima vaca</t>
  </si>
  <si>
    <t>SEGURO DE RETIRO ISSSTESON</t>
  </si>
  <si>
    <t>LANDGRAVE</t>
  </si>
  <si>
    <t>CARRILLO</t>
  </si>
  <si>
    <t>IBARRA</t>
  </si>
  <si>
    <t>FLORES</t>
  </si>
  <si>
    <t>VILLEGAS</t>
  </si>
  <si>
    <t>SILVA SESTEAGA</t>
  </si>
  <si>
    <t>SILVA ONTIVEROS</t>
  </si>
  <si>
    <t xml:space="preserve">RODRIGUEZ </t>
  </si>
  <si>
    <t>ACOSTA</t>
  </si>
  <si>
    <t>HERNANDEZ</t>
  </si>
  <si>
    <t>BUSTAMANTE</t>
  </si>
  <si>
    <t>ESQUER</t>
  </si>
  <si>
    <t>CELAYA</t>
  </si>
  <si>
    <t>ZAMBRANO</t>
  </si>
  <si>
    <t>MARTINEZ</t>
  </si>
  <si>
    <t>VILLAESCUZA</t>
  </si>
  <si>
    <t>1000 SERVICIOS PERSONALES</t>
  </si>
  <si>
    <t>sueldo</t>
  </si>
  <si>
    <t>compen</t>
  </si>
  <si>
    <t>eventual</t>
  </si>
  <si>
    <t>pract prof</t>
  </si>
  <si>
    <t>grat. Fin año</t>
  </si>
  <si>
    <t>bono c y a</t>
  </si>
  <si>
    <t>25% issste</t>
  </si>
  <si>
    <t>s. vida</t>
  </si>
  <si>
    <t>landgrave</t>
  </si>
  <si>
    <t>carrillo</t>
  </si>
  <si>
    <t>ibarra</t>
  </si>
  <si>
    <t>flores</t>
  </si>
  <si>
    <t>villegas</t>
  </si>
  <si>
    <t>silva s.</t>
  </si>
  <si>
    <t>acosta</t>
  </si>
  <si>
    <t>silva o.</t>
  </si>
  <si>
    <t>rodriguez</t>
  </si>
  <si>
    <t>celaya</t>
  </si>
  <si>
    <t>esquer</t>
  </si>
  <si>
    <t>hernandez</t>
  </si>
  <si>
    <t>zambrano</t>
  </si>
  <si>
    <t>bustamate</t>
  </si>
  <si>
    <t>martinez</t>
  </si>
  <si>
    <t>villaescuza</t>
  </si>
  <si>
    <t>HERRAMIENTAS MENORES</t>
  </si>
  <si>
    <t>SUBTOTAL COMBUSTIBLES</t>
  </si>
  <si>
    <t>SUSCRIPCIONES Y CUOTAS</t>
  </si>
  <si>
    <t>s. ret</t>
  </si>
  <si>
    <t>prev. Soc.</t>
  </si>
  <si>
    <t>inc. Suel.</t>
  </si>
  <si>
    <t>DIRECTOR AREA SOCIAL</t>
  </si>
  <si>
    <t>ANALISTA</t>
  </si>
  <si>
    <t>SUBTOTAL</t>
  </si>
  <si>
    <t>gonzalez</t>
  </si>
  <si>
    <t>bustamante ortega</t>
  </si>
  <si>
    <t>renata</t>
  </si>
  <si>
    <t>junio 2005</t>
  </si>
  <si>
    <t>julio 2005</t>
  </si>
  <si>
    <t>enero 2006</t>
  </si>
  <si>
    <t>julio 2006</t>
  </si>
  <si>
    <t>comp</t>
  </si>
  <si>
    <t>GONZALEZ</t>
  </si>
  <si>
    <t>BUSTANTE ORTEGA</t>
  </si>
  <si>
    <t>LASTENIA</t>
  </si>
  <si>
    <t>EVENTUAL X INCAPACIDADES</t>
  </si>
  <si>
    <t>EVENTUAL ADTIVO</t>
  </si>
  <si>
    <t>2005</t>
  </si>
  <si>
    <t>junio</t>
  </si>
  <si>
    <t>julio</t>
  </si>
  <si>
    <t>enero</t>
  </si>
  <si>
    <t>total</t>
  </si>
  <si>
    <t>EVENTUAL HABITAT</t>
  </si>
  <si>
    <t>EVENTUAL AREA SOCIAL</t>
  </si>
  <si>
    <t>COMP</t>
  </si>
  <si>
    <t>JULIO 2006</t>
  </si>
  <si>
    <t xml:space="preserve">PRIMA VACACIONAL </t>
  </si>
  <si>
    <t>2007</t>
  </si>
  <si>
    <t>FIGUEROA</t>
  </si>
  <si>
    <t>VARELA GONZALEZ</t>
  </si>
  <si>
    <t>ARANA ABAUNZA</t>
  </si>
  <si>
    <t>dias 31</t>
  </si>
  <si>
    <t>compensacion</t>
  </si>
  <si>
    <t xml:space="preserve">quinquenios </t>
  </si>
  <si>
    <t>PRESUPUESTO DE EGRESOS 2008</t>
  </si>
  <si>
    <t>SERVICIOS PROFESIONALES</t>
  </si>
  <si>
    <t>TELEFONIA CELULAR</t>
  </si>
  <si>
    <t>CURSOS, EXPOSICIONES</t>
  </si>
  <si>
    <t>CONGRESOS</t>
  </si>
  <si>
    <t>PARTIDA</t>
  </si>
  <si>
    <t>COMISION CHEQUES EMITIDOS</t>
  </si>
  <si>
    <t>COMISION SERVICIO NOMINA</t>
  </si>
  <si>
    <t>MULTAS</t>
  </si>
  <si>
    <t>Específica</t>
  </si>
  <si>
    <t>Genérica</t>
  </si>
  <si>
    <t>SERVICIOS PROFESIONALES, CIENTIFICOS Y TECNICOS INTEGRALES</t>
  </si>
  <si>
    <t>SUBTOTAL SERVICIOS PROFESIONALES, CIENTIFICOS Y TECNICOS INTEGRALES</t>
  </si>
  <si>
    <t>SEGUROS DE RESPONSABILIDAD PATRIMONIAL Y FIANZAS</t>
  </si>
  <si>
    <t>SUBTOTAL SEGUROS DE RESPONSABILIDAD PATRIMONIAL Y FIANZAS</t>
  </si>
  <si>
    <t>FLETES Y MANIOBRAS</t>
  </si>
  <si>
    <t>SUBTOTAL FLETES Y MANIOBRAS</t>
  </si>
  <si>
    <t>PASAJES AEREOS</t>
  </si>
  <si>
    <t>SUBTOTAL PASAJES AEREOS</t>
  </si>
  <si>
    <t>PASAJES TERRESTRES</t>
  </si>
  <si>
    <t>SUBTOTAL PASAJES TERRESTRES</t>
  </si>
  <si>
    <t>VIATICOS EN EL PAIS</t>
  </si>
  <si>
    <t>SUBTOTAL VIATICOS EN EL PAIS</t>
  </si>
  <si>
    <t>GASTOS DE CAMINO</t>
  </si>
  <si>
    <t>VIATICOS EN EL EXTRANJERO</t>
  </si>
  <si>
    <t>SUBTOTAL VIATICOS EN EL EXTRANJERO</t>
  </si>
  <si>
    <t>SUBTOTAL GASTOS DE CAMINO</t>
  </si>
  <si>
    <t>SUBTOTAL SUSCRIPCIONES Y CUOTAS</t>
  </si>
  <si>
    <t>EXPOSICIONES</t>
  </si>
  <si>
    <t>SUBTOTAL EXPOSICIONES</t>
  </si>
  <si>
    <t>SUBTOTAL CONGRESOS Y CONVENCIONES</t>
  </si>
  <si>
    <t>CONGRESOS Y CONVENCIONES</t>
  </si>
  <si>
    <t>MATERIALES, UTILES Y EQUIPOS MENORES DE OFICINA</t>
  </si>
  <si>
    <t>SUBTOTAL MATERIALES, UTILES Y EQUIPOS MENORES DE OFICINA</t>
  </si>
  <si>
    <t>MATERIALES Y UTILES DE IMPRESIÓN Y REPRODUCCION</t>
  </si>
  <si>
    <t>SUBTOTAL MATERIALES Y UTILES DE IMPRESIÓN Y REPRODUCCION</t>
  </si>
  <si>
    <t>PRODUCTOS ALIMENTICIOS PARA EL PERSONAL EN LAS INSTALACIONES</t>
  </si>
  <si>
    <t>SUBTOTAL PROD. ALIMENT. PARA EL PERSONAL EN LAS INST.</t>
  </si>
  <si>
    <t>ADQUISICION DE AGUA POTABLE</t>
  </si>
  <si>
    <t>SUBTOTAL ADQUISICION DE AGUA POTABLE</t>
  </si>
  <si>
    <t>SUBTOTAL HERRAMIENTAS MENORES</t>
  </si>
  <si>
    <t>ENERGIA ELECTRICA</t>
  </si>
  <si>
    <t>SUBTOTAL ENERGIA ELECTRICA</t>
  </si>
  <si>
    <t>TELEFONIA TRADICIONAL</t>
  </si>
  <si>
    <t>SUBTOTAL TELEFONIA TRADICIONAL</t>
  </si>
  <si>
    <t>SUBTOTAL TELEFONIA CELULAR</t>
  </si>
  <si>
    <t>ARRENDAMIENTO DE EDIFICIOS</t>
  </si>
  <si>
    <t>SUBTOTAL ARRENDAMIENTO DE EDIFICIOS</t>
  </si>
  <si>
    <t>SERVICIOS LEGALES, DE CONTABILIDAD, AUDITORIAS Y RELACIONADOS</t>
  </si>
  <si>
    <t>SUBTOTAL SERV. LEGALES, DE CONTAB., AUDITORIAS Y RELAC.</t>
  </si>
  <si>
    <t>SERVICIOS DE DISEÑO, ARQUITECTURA, INGENIERIA Y ACTIVIDADES RELACIONADAS</t>
  </si>
  <si>
    <t>SUBTOTAL SERV. DE DISEÑO, ARQUITECTURA, ING. Y ACTIV. RELAC.</t>
  </si>
  <si>
    <t>SERVICIOS DE DISEÑO, ARQUITECTURA, ING. Y ACTIV. RELACIONADAS</t>
  </si>
  <si>
    <t>LICITACIONES, CONVENIOS Y CONVOCATORIAS</t>
  </si>
  <si>
    <t>SUBTOTAL LICITACIONES, CONVENIOS Y CONVOCATORIAS</t>
  </si>
  <si>
    <t>SUBTOTAL MANTENIMIENTO Y CONSERVACION DE INMUEBLES</t>
  </si>
  <si>
    <t>MANTENIMIENTO Y CONSERVACIÓN DE INMUEBLES</t>
  </si>
  <si>
    <t>MANTENIMIENTO Y CONSERVACIÓN DE MOBILIARIO Y EQUIPO</t>
  </si>
  <si>
    <t>SUBTOTAL MANTENIMIENTO Y CONSERVACIÓN MOBILIARIO Y EQUIPO</t>
  </si>
  <si>
    <t>MANTENIMIENTO Y CONSERVACIÓN DE EQUIPO DE TRANSPORTE</t>
  </si>
  <si>
    <t>SUBTOTAL MANTO. Y CONSERVACIÓN EQUIPO DE TRANSPORTE</t>
  </si>
  <si>
    <t>MANTENIMIENTO Y CONSERVACIÓN DE MAQUINARIA Y EQUIPO</t>
  </si>
  <si>
    <t>SUBTOTAL MANTENIMIENTO Y CONSERVACIÓN MAQUINARIA Y EQUIPO</t>
  </si>
  <si>
    <t>SERVICIOS DE JARDINERÍA Y FUMIGACIÓN</t>
  </si>
  <si>
    <t>SUBTOTAL SERVICIOS DE JARDINERÍA Y FUMIGACIÓN</t>
  </si>
  <si>
    <t>GASTOS DE CEREMONIAL</t>
  </si>
  <si>
    <t>SUBTOTAL GASTOS DE CEREMONIAL</t>
  </si>
  <si>
    <t>MUEBLES DE OFICINA Y ESTANTERIA</t>
  </si>
  <si>
    <t>SUBTOTAL MUEBLES DE OFICINA Y ESTANTERIA</t>
  </si>
  <si>
    <t>EQUIPO DE COMPUTO Y DE TECNOLOGIAS DE LA INFORMACION</t>
  </si>
  <si>
    <t>SUBTOTAL EQUIPO DE COMPUTO Y DE TECN. DE LA INFORMACION</t>
  </si>
  <si>
    <t>OTRO MOBILIARIO Y EQUIPO EDUCACIONAL Y RECREATIVO</t>
  </si>
  <si>
    <t>SUBTOTAL OTRO MOB. Y EQUIPO EDUCACIONAL Y RECREATIVO</t>
  </si>
  <si>
    <t>AUTOMOVILES Y CAMIONES</t>
  </si>
  <si>
    <t>SUBTOTAL AUTOMOVILES Y CAMIONES</t>
  </si>
  <si>
    <t>EQUIPO DE COMUNICACIÓN Y TELECOMUNICACIÓN</t>
  </si>
  <si>
    <t>SUBTOTAL EQUIPO DE COMUNICACIÓN Y TELECOMUNICACIÓN</t>
  </si>
  <si>
    <t>SERVICIOS FINANCIEROS Y BANCARIOS</t>
  </si>
  <si>
    <t>SUBTOTAL SERVICIOS FINANCIEROS Y BANCARIOS</t>
  </si>
  <si>
    <t>PENAS, MULTAS, ACCESORIOS Y ACTUALIZACIONES</t>
  </si>
  <si>
    <t>SUBTOTAL PENAS, MULTAS, ACCESORIOS Y ACTUALIZACIONES</t>
  </si>
  <si>
    <t>TELEFONÍA TRADICIONAL</t>
  </si>
  <si>
    <t>VIÁTICOS EN EL PAIS</t>
  </si>
  <si>
    <t>VIÁTICOS EN EL EXTRANJERO</t>
  </si>
  <si>
    <t>AUTOMÓVILES Y CAMIONES</t>
  </si>
  <si>
    <t>ARCVIEW 9.6</t>
  </si>
  <si>
    <t>SYNCHRO</t>
  </si>
  <si>
    <t>CONTRATACION DE PROYECTOS EJECUTIVOS</t>
  </si>
  <si>
    <t>AUTOCAD 2013</t>
  </si>
  <si>
    <t>PUBLICACIONES BOLETIN OFICIAL HOJA</t>
  </si>
  <si>
    <t>BOLETIN OFICIAL</t>
  </si>
  <si>
    <t>PUBLICACION IMPARCIAL 1 PLANA COLOR</t>
  </si>
  <si>
    <t>SUBTOTAL RECUPERACIÓN DEL ESPACIO PÚBLICO</t>
  </si>
  <si>
    <t>PATRIMONIO HISTÓRICO</t>
  </si>
  <si>
    <t>SUBTOTAL PATRIMONIO HISTÓRICO</t>
  </si>
  <si>
    <t>SUBTOTAL DISEÑO DE NORMATIVIDAD E INSTRUMENTOS JURÍDICOS</t>
  </si>
  <si>
    <t>ESTUDIOS DE INGENIERIA</t>
  </si>
  <si>
    <t>ESTUDIOS DE ARQUITECTURA</t>
  </si>
  <si>
    <t>REGISTRO PUBLICO DE LA PROPIEDAD</t>
  </si>
  <si>
    <t>DICTAMEN DE URBANIZACIÓN</t>
  </si>
  <si>
    <t>POR DISCO COMPACTO</t>
  </si>
  <si>
    <t>POR COPIA SIMPLE</t>
  </si>
  <si>
    <t>POR COPIA SIMPLE DE PLANO</t>
  </si>
  <si>
    <t>IMPRESIÓN LIBRO</t>
  </si>
  <si>
    <t>TORRE CD-R C/50</t>
  </si>
  <si>
    <t>TABLA MADERA CON CLIP TAMANO ESQUELA</t>
  </si>
  <si>
    <t>RECOGEDOR PARA BASURA METALICO</t>
  </si>
  <si>
    <t>LAVADO AUTOMÓVILES TRABAJO</t>
  </si>
  <si>
    <t>AGUA DE GARRAFON MAYAN WATER</t>
  </si>
  <si>
    <t>AGUA</t>
  </si>
  <si>
    <t>RENTA BODEGA</t>
  </si>
  <si>
    <t>AUDITORIA DESPACHO EXTERNO</t>
  </si>
  <si>
    <t>SEGURO INMUEBLE</t>
  </si>
  <si>
    <t>SEGUROS AUTOMOVILES</t>
  </si>
  <si>
    <t>TARJETA SD 32 GB</t>
  </si>
  <si>
    <t>ODOMETRO TMP-1000</t>
  </si>
  <si>
    <t>GARMIN 010-00970-00 ETREX 10 NAVEGADOR HANDLED CON GPS GLOBAL</t>
  </si>
  <si>
    <t>TARJETA DE VIDEO NVIDIA GFORCE GTX 1060</t>
  </si>
  <si>
    <t>DISCO DURO EXTERNO TOSHIBA 2TB CANVIO BASICS</t>
  </si>
  <si>
    <t xml:space="preserve">TARJETA MADRE MARCA GIGABYTE (USB 3.0 HDMI) MEMORIA DDR3 8GB iCore5 </t>
  </si>
  <si>
    <t>TARJETA MADRE MARCA GIGABYTE (USB 3.0 HDMI) MEMORIA DDR3 16GB QUEMADOR DVD</t>
  </si>
  <si>
    <t>BACPACK WENGER 14" PARA LAPTOP</t>
  </si>
  <si>
    <t>GPS TRIMBLE SUBMETRICO GEOXT 2003</t>
  </si>
  <si>
    <t>FLEXOMETRO DE 5 METROS</t>
  </si>
  <si>
    <t>FLEXOMETRO DE 8 METROS</t>
  </si>
  <si>
    <t>CAJAS ARCHIVO PLASTICO TAMAÑO CARTA</t>
  </si>
  <si>
    <t>CAJAS ARCHIVO PLASTICO TAMAÑO OFICIO</t>
  </si>
  <si>
    <t>ROUTER CISCO 1P RJ45 1P USB 3G/4G, 4P 10/100/1000, CAT 5E O 6, DMZ, 10 VPN, QOS, FIREWALL, 1 ANO</t>
  </si>
  <si>
    <t>NOBREAK KOBLENZ 20014, 2000VA/1600W, ONDA SENOIDAL PURA, RACK/TORRE 5 CONT. 120V, 132-108VA</t>
  </si>
  <si>
    <t>GRABADORAS DE VOZ DIGITALES DVT2510 NEGRO PHILLIPS</t>
  </si>
  <si>
    <t>SERVICIOS NOTARIALES</t>
  </si>
  <si>
    <t>CONGRESOS DG IV</t>
  </si>
  <si>
    <t>PAGO RECIBO AGUAH</t>
  </si>
  <si>
    <t>PAGO RECIBO CFE</t>
  </si>
  <si>
    <t>PAGO RECIBO TELMEX</t>
  </si>
  <si>
    <t>PAGO RECARGAS TELCEL</t>
  </si>
  <si>
    <t>SILLA EJECUTIVA SPORT ERGO NEGRO/GRIS</t>
  </si>
  <si>
    <t>SILLA SECRETARIAL COSCORO INDONESIA NEGRO</t>
  </si>
  <si>
    <t>SILLA TIPO PIEL RED TOP EJECUTIVA CAPADOCIA</t>
  </si>
  <si>
    <t>TELEFONO INALAMBRICO BINATONE VEVA 1705 DUO NEGRO</t>
  </si>
  <si>
    <t>GATO HIDRAULICO 2 TONELADAS</t>
  </si>
  <si>
    <t>VENTA PLANO IMPRESO 90x60</t>
  </si>
  <si>
    <t>VENTAPLANO IMPRESO 90X120</t>
  </si>
  <si>
    <t>VENTA PLANO IMPRESO DOBLE CARTA</t>
  </si>
  <si>
    <t>VENTA DE PUBLICACIONES DIGITALES DE PROGRAMAS</t>
  </si>
  <si>
    <t>VENTA DE PUBLICACIONES DIGITALES DE ESTUDIOS, MANUALES Y NORMATIVIDAD</t>
  </si>
  <si>
    <t>VENTA DE DOCUMENTO IMPRESO CON TEMAS DE DESARROLLO URBANO POR PAGINA IMPRESA BLANCO Y NEGRO</t>
  </si>
  <si>
    <t>VENTA DE DOCUMENTO IMPRESO CON TEMAS DE DESARROLLO URBANO POR PAGINA IMPRESA COLOR</t>
  </si>
  <si>
    <t>DICTAMEN DE CONGRUENCIA</t>
  </si>
  <si>
    <t xml:space="preserve">DICTAMEN ESTUDIO DE TECNICAS DE INFRAESTRUCTURA VERDE </t>
  </si>
  <si>
    <t>DICTAMEN DE CAMBIO DE USO DE SUELO</t>
  </si>
  <si>
    <t>POR HOJA IMPRESA POR MEDIO DISPOSITIVO INFORMATICO</t>
  </si>
  <si>
    <t>PLUMA BIC AZUL C/12</t>
  </si>
  <si>
    <t>PLUMA BIC NEGRA C/12</t>
  </si>
  <si>
    <t>CAJA SOBRES COFFE MATE 4 G C/200</t>
  </si>
  <si>
    <t>SERVICIOS DESPACHO CONTABLE</t>
  </si>
  <si>
    <t>SERVICIOS DISEÑO DE REDES SOCIALES</t>
  </si>
  <si>
    <t>CUOTAS COSTCO, SAMS</t>
  </si>
  <si>
    <t xml:space="preserve">SERVICIOS PROFESIONALES </t>
  </si>
  <si>
    <t>TELEFONO INALAMBRICO 2 PIEZAS VTECH</t>
  </si>
  <si>
    <t>VESTUARIO Y UNIFORMES</t>
  </si>
  <si>
    <t>UNIFORMES PARA PERSONAL</t>
  </si>
  <si>
    <t>SUBTOTAL VESTUARIO Y UNIFORMES</t>
  </si>
  <si>
    <t>MOVILIDAD URBANA SUSTENTABLE</t>
  </si>
  <si>
    <t>DICTAMEN DE ESTUDIO DE CAPACIDADES PARA POTENCIAL DE DESARROLLO</t>
  </si>
  <si>
    <t>ESTRATEGIA PLANEACIÓN TERRITORIAL Y URBANA SOSTENIBLE</t>
  </si>
  <si>
    <t>INFRAESTRUCTURA Y ACCIONES PARA LA GESTION INTEGRAL DEL RIESGO, RESILENCIA Y CAMBIO CLIMÁTICO</t>
  </si>
  <si>
    <t>Proyectos Ejecutivos de Infraestructura Pluvial</t>
  </si>
  <si>
    <t>SUBTOTAL ESTRATEGIA PLANEACIÓN TERRITORIAL Y URBANA SOSTENIBLE</t>
  </si>
  <si>
    <t>SUBTOTAL INFRAESTRUCTURA Y ACCIONES PARA LA GESTIÓN INTEGRAL DEL RIESGO, RESILENCIA Y CAMBIO CLIMÁTICO</t>
  </si>
  <si>
    <t>SUBTOTAL MOVILIDAD URBANA SUSTENTABLE</t>
  </si>
  <si>
    <t>RECUPERACIÓN Y GESTIÓN DEL ESPACIO PUBLICO</t>
  </si>
  <si>
    <t>TORRE DVD-R C/50</t>
  </si>
  <si>
    <t>PAPEL OFICIO AMERICANO PAQUETE 500 HOJAS</t>
  </si>
  <si>
    <t>MARCADOR SHARPIE AZUL</t>
  </si>
  <si>
    <t>CUBETA EXPRIMIDORA DE 20 LT</t>
  </si>
  <si>
    <t>TENENCIA AUTOMOVILES</t>
  </si>
  <si>
    <t>GALLETAS CHISPA CHOCOLATE COSTCO C/24</t>
  </si>
  <si>
    <t>ACTUALIZACIÓN PROGRAMA</t>
  </si>
  <si>
    <t>ACTUALIZACIÓN MANUAL IV</t>
  </si>
  <si>
    <t>MINISPLIT 2 TON</t>
  </si>
  <si>
    <t>MINISPLIT 1 TON</t>
  </si>
  <si>
    <t>CASETA COBRO SALIDA NOGALES</t>
  </si>
  <si>
    <t>CASETA COBRO MAGDALENA</t>
  </si>
  <si>
    <t>CASETA COBRO GUAYMAS - OBREGON</t>
  </si>
  <si>
    <t>BATERIA REPUESTO PARA LAPTOP</t>
  </si>
  <si>
    <t>CAMARA FOTOGRÁFICA CANON POWERSHOT ELPH 180 20MPX 8x ZOOM</t>
  </si>
  <si>
    <t>PAPEL HIGIENICO JUMBO CAJA C/6</t>
  </si>
  <si>
    <t>GALON SARRICIDA DEX</t>
  </si>
  <si>
    <t>IMPRESIÓN LIBRO VARIOS</t>
  </si>
  <si>
    <t>MONITOR ACER K242HL LED 24"</t>
  </si>
  <si>
    <t>Programa de Desarrollo Urbano del Centro de Población Bahía de Kino</t>
  </si>
  <si>
    <t>PAGO SERVICIO PERSONAL LIMPIEZA</t>
  </si>
  <si>
    <t>PAGO MENSUALIDAD IMSS</t>
  </si>
  <si>
    <t>PAGO INFONAVIT</t>
  </si>
  <si>
    <t>FONDO FIDEICOMISO USO DE SUELO IMPLAN</t>
  </si>
  <si>
    <t>CAJA SPLENDA SOBRES 1 G C/600</t>
  </si>
  <si>
    <t>SODA MIX PEPSI LATA 355 ML C/36 (ART. 000213102)</t>
  </si>
  <si>
    <t>RESUMEN EGRESOS 2021:</t>
  </si>
  <si>
    <t>RENTA EDIFICIO</t>
  </si>
  <si>
    <t>RENTA COPIADORA</t>
  </si>
  <si>
    <t>EVENTOS DIVERSOS</t>
  </si>
  <si>
    <t>GASTOS DIVERSOS</t>
  </si>
  <si>
    <r>
      <t xml:space="preserve">HABITAT FEDERAL Y MUNICIPAL </t>
    </r>
    <r>
      <rPr>
        <b/>
        <sz val="10"/>
        <rFont val="Arial"/>
        <family val="2"/>
      </rPr>
      <t>(CONSIDERAR CON ERIKA COTA)</t>
    </r>
  </si>
  <si>
    <t>EQUIPAMIENTO INMUEBLE</t>
  </si>
  <si>
    <t>SUELDOS AL PERSONAL</t>
  </si>
  <si>
    <t>GRATIFICACION ANUAL</t>
  </si>
  <si>
    <t>CUOTAS DE SERVICIO MÉDICO</t>
  </si>
  <si>
    <t>PRIMAS POR AÑOS DE SERVICIOS EFECTIVOS PRESTADOS</t>
  </si>
  <si>
    <t>PRIMA DE VACACIONES Y DOMINICAL</t>
  </si>
  <si>
    <t>ESTÍMULOS AL PERSONAL DE CONFIANZA</t>
  </si>
  <si>
    <t>APORTACIONES POR SEGURO DE VIDA AL ISSSTESON</t>
  </si>
  <si>
    <t>OTRAS PRESTACIONES DE SEGURIDAD SOCIAL</t>
  </si>
  <si>
    <t>APORTACIONES PARA LA ATENCIÓN DE ENFERMEDADES PRE-EXISTENTES</t>
  </si>
  <si>
    <t>OTRAS PRESTACIONES</t>
  </si>
  <si>
    <t>LIMPIADOR FABULOSO LAVANDA 10L</t>
  </si>
  <si>
    <t>LIMPIADOR PINOL 9L</t>
  </si>
  <si>
    <t>DETERGENTE EN POLVO ARCOIRIS 9KG</t>
  </si>
  <si>
    <t>TOALLAS SANITAS PARA MANOS 20 FAJILLAS C/100 PZAS</t>
  </si>
  <si>
    <t>JABON LIQUIDO PARA MANOS PRICHOS WALMART</t>
  </si>
  <si>
    <t>GEL ANTIBACTERIAL BLUMEN 4L</t>
  </si>
  <si>
    <t>CLORO CLORALEX 950 ML C/8</t>
  </si>
  <si>
    <t>LIMPIADOR DE MUEBLES PLEDGE 460 ML C/2</t>
  </si>
  <si>
    <t xml:space="preserve">LIMPIADOR MEMBERS MARK 5L </t>
  </si>
  <si>
    <t>CEPILLO PARA WC CON BASE</t>
  </si>
  <si>
    <t>TRAPEADOR MEMBERS MARK 2 PZA</t>
  </si>
  <si>
    <t>BOLSA PARA BASURA MEDIANA MEMBERS MARK C/500</t>
  </si>
  <si>
    <t>BOLSA PARA BASURA EXTRA JUMBO NEGRA MEMBERS MARK C/100</t>
  </si>
  <si>
    <t>FRANELAS PRICHOS  WALMART</t>
  </si>
  <si>
    <t>CAFÉ MOLIDO 1.2 KG</t>
  </si>
  <si>
    <t>BOLSA AZUCAR ZULKA 2 KG C/10</t>
  </si>
  <si>
    <t>PLATO 9" C/100</t>
  </si>
  <si>
    <t>VASOS 32 OZ. C/80</t>
  </si>
  <si>
    <t>CUCHARAS SOLO C/300 COSTCO</t>
  </si>
  <si>
    <t>GALLETAS SURTIDO GABY SAMS CLUB</t>
  </si>
  <si>
    <t>GALLETAS SURTIDO MARINELA COSTCO</t>
  </si>
  <si>
    <t>SODA COCA COLA LATA 235 ML C/24 SAMS CLUB</t>
  </si>
  <si>
    <t>SODA COCA COLA LIGHT LATA 355 ML C/24 SAMS CLUB</t>
  </si>
  <si>
    <t>SERVILLETAS PETALO C/450 4 PAQ SAMS CLUB</t>
  </si>
  <si>
    <t>ESCOBA LUX 1 PZA WALMART</t>
  </si>
  <si>
    <t>PAQUETE DE BATERÍAS ALCALINAS AAA 48 PIEZAS SAMS CLUB</t>
  </si>
  <si>
    <t xml:space="preserve">AGUA PURIFICADA MEMBERS MARK 500 ML C/45 </t>
  </si>
  <si>
    <t>ACEITE PARA MOTOR CASTROL 20W-50 MULTIGRADO 4.73L WALMART</t>
  </si>
  <si>
    <t>LIQUIDO PARA FRENOS AUTOZONE 946 ML</t>
  </si>
  <si>
    <t>LIQUIDO ANTICONGELANTE PRESTON 3.78L AUTOZONE</t>
  </si>
  <si>
    <t>JUEGO DESARMADORES STANLEY C/SOPORTE WALMART</t>
  </si>
  <si>
    <t>CARTUCHO HP 48 A NEGRO</t>
  </si>
  <si>
    <t>COPIAS BLANCO/NEGRO Y COLOR</t>
  </si>
  <si>
    <t>PAGO ANUALIDAD AMIMP 18, 19, 20, 21, 22</t>
  </si>
  <si>
    <t>COMPUTADORA DE ESCRITORIO</t>
  </si>
  <si>
    <t>LAPTOP GAMER</t>
  </si>
  <si>
    <t>GRABADORA DIGITAL</t>
  </si>
  <si>
    <t>USB 2.0 32 GB VERBATIM</t>
  </si>
  <si>
    <t>SERVIDOR DELL POWEREDGE T140 XEON 2224 8GB RAM 2DB 1TB</t>
  </si>
  <si>
    <t>RAM 700</t>
  </si>
  <si>
    <t>MEDIDOR LASER DE DISTANCIAS BOSCH</t>
  </si>
  <si>
    <t>CARTUCHO PARA IMPRESORA</t>
  </si>
  <si>
    <t>ROLLO PAPEL BOND</t>
  </si>
  <si>
    <t>PAPEL CARTA CAJA OFFICEMAX CON 5,000 HOJAS</t>
  </si>
  <si>
    <t>PAPEL DOBLE CARTA PAQUETE 500 HOJAS OFFICE MAX</t>
  </si>
  <si>
    <t>LAPIZ #2 C/12 OFFICE DEPOT</t>
  </si>
  <si>
    <t>GRAPA ESTANDAR BOSTITCH CAJA C/5000 OFFICE MAX</t>
  </si>
  <si>
    <t>MARCATEXTO PELIKAN COLORES VARIOS C/4 OFFICE DEPOT</t>
  </si>
  <si>
    <t>CUADERNO PROFESIONAL RAYADO SIGEL OFFICE MAX</t>
  </si>
  <si>
    <t>BORRADORES MIGAJON PELIKAN C/20</t>
  </si>
  <si>
    <t>FOLDER CARTA C/100 OFFICE MAX</t>
  </si>
  <si>
    <t>FOLDER OFICIO C/100 OFFICE MAX</t>
  </si>
  <si>
    <t>ENGRAPADORA BOSTITCH OSLO MINI B-10 OFFICE DEPOT</t>
  </si>
  <si>
    <t>SOBRES PARA CD/DVD C/50 OFFICE MAX</t>
  </si>
  <si>
    <t>SOBRE TAMAÑO OFICIO MANILA C/40 OFFICE MAX</t>
  </si>
  <si>
    <t>LAPIZ ADHESIVO 10GR ELMER CLEAR C/2 OFFICE DEPOT</t>
  </si>
  <si>
    <t>NOTAS ADHESIVAS C/400 OFIXPRESS OFFICE DEPOT</t>
  </si>
  <si>
    <t>BANDERITAS ADH T/FLECHA C/150 OFFICE MAX</t>
  </si>
  <si>
    <t>SACAPUNTA DE METAL TICHER C/2 OFFICE DEPOT</t>
  </si>
  <si>
    <r>
      <t xml:space="preserve">REALIZACIÓN DE ESTUDIOS, ASESORÍAS, GESTIONES, ANALISIS, PROYECTOS Y SERVICIOS SEMEJANTES (ART. 16, FRACC. V, ACUERDO DE CREACIÓN IMPLAN )   </t>
    </r>
    <r>
      <rPr>
        <b/>
        <sz val="11"/>
        <rFont val="Arial"/>
        <family val="2"/>
      </rPr>
      <t>(SEGÚN CONTRATO)</t>
    </r>
  </si>
  <si>
    <t>Programa de Desarrollo Urbano del Centro de Población de Miguel Alemán</t>
  </si>
  <si>
    <t>Plan de Acción Climática Municipal</t>
  </si>
  <si>
    <t>Proyectos Ejecutivos de Cruces Seguros</t>
  </si>
  <si>
    <t>SERVICIOS PROFESIONALES CONTABLE</t>
  </si>
  <si>
    <t>RESUMEN INGRESOS 2023:</t>
  </si>
  <si>
    <t>DICTAMEN DE ESTUDIO DE IMPACTO VIAL O MOVILIDAD</t>
  </si>
  <si>
    <t>VENTA DE PUBLICACIONES IMPRESAS HASTA 100 HOJAS, POR HOJA</t>
  </si>
  <si>
    <t>VENTA DE PUBLICACIONES IMPRESAS MAS DE 100 HOJAS, POR HOJA</t>
  </si>
  <si>
    <t>DICTAMEN PARA APROBACIÓN DE NOMENCLATURA DE DESARROLLOS INMOBILIARIOS</t>
  </si>
  <si>
    <t>POR COPIA CERTIFICADA DE DOCUMENTO POR HOJA</t>
  </si>
  <si>
    <t>POR DISCO FLEXIBLE 3.5 PULGADAS</t>
  </si>
  <si>
    <t>POR COPIA CERTIFICADA DE PLANO</t>
  </si>
  <si>
    <t>Programa de Desarrollo Urbano del Centro de Población de Hermosillo</t>
  </si>
  <si>
    <t>Proyecto Ejecutivo para el Parque Biocultural Cerro de la Campana</t>
  </si>
  <si>
    <t>Programa de Mejoramiento y Conservación del Centro Urbano</t>
  </si>
  <si>
    <t>Proyecto de Imagen Urbana en diferentes áreas del Municipio de Hermosillo</t>
  </si>
  <si>
    <t>Programa Integral de Movilidad Urbana Sostenible (PIMUS)</t>
  </si>
  <si>
    <t>Proyecto Ejecutivo para Promover la reconversión del Panteón Yañez en Parque Urbano</t>
  </si>
  <si>
    <t>Proyecto de Vialidad con elemento de Calle Completa</t>
  </si>
  <si>
    <t>Proyecto de Intervención en Espacios Públicos con Infraestructura Verde</t>
  </si>
  <si>
    <t>Proyecto para la Ampliación de la Red Ciclista</t>
  </si>
  <si>
    <t>Programa Estratégico de Infraestructura Verde de Hermosillo (PEIVH)</t>
  </si>
  <si>
    <t>PRESUPUESTO PROPUESTA DE INGRESOS Y EGRESOS AÑO FISCAL 2023 DEL INSTITUTO MUNICIPAL DE PLANEACION URBANA Y DEL ESPACIO PÚBLICO</t>
  </si>
  <si>
    <t>PRESUPUESTO DE INGRESOS 2023</t>
  </si>
  <si>
    <t>AYUDA PARA CUOTA SEGURIDAD SOCIAL</t>
  </si>
  <si>
    <t>COMPENSACIÓN POR AJUSTE DE CALENDARIO</t>
  </si>
  <si>
    <t>APORTACIONES AL SISTEMA PARA EL RETIRO</t>
  </si>
  <si>
    <t>BONO PARA DESPENSA</t>
  </si>
  <si>
    <t>DIAS ECONÓMICOS NO DISFRUTADOS</t>
  </si>
  <si>
    <t>PRESTACIONES ESTABLECIDAS POR CONDICIONES GENERALES</t>
  </si>
  <si>
    <t>SERVICIOS DE COMUNICACIÓN SOCIAL Y PUBLICIDAD</t>
  </si>
  <si>
    <t>DIFUSIÓN POR RADIO, TELEVISION Y OTROS MEDIOS</t>
  </si>
  <si>
    <t>SUBTOTAL SERVICIOS DE COMUNICACIÓN SOCIAL Y PUBLICIDAD</t>
  </si>
  <si>
    <t>IMPUESTOS SOBRE NOMINAS</t>
  </si>
  <si>
    <t>IMPUESTOS</t>
  </si>
  <si>
    <t>IMPUESTOS SOBRE NOMINA</t>
  </si>
  <si>
    <t>SUBTOTAL IMPUESTOS SOBRE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</si>
</sst>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color indexed="10"/>
      <name val="Arial"/>
      <family val="2"/>
    </font>
    <font>
      <b/>
      <sz val="8"/>
      <name val="Arial"/>
      <family val="2"/>
    </font>
    <font>
      <b/>
      <sz val="14"/>
      <color indexed="10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89708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/>
    <xf numFmtId="4" fontId="8" fillId="0" borderId="0" xfId="0" applyNumberFormat="1" applyFont="1"/>
    <xf numFmtId="4" fontId="7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7" fillId="0" borderId="0" xfId="0" applyFont="1" applyAlignment="1">
      <alignment horizontal="right"/>
    </xf>
    <xf numFmtId="0" fontId="4" fillId="0" borderId="0" xfId="0" applyFont="1"/>
    <xf numFmtId="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6" fillId="5" borderId="4" xfId="0" applyFont="1" applyFill="1" applyBorder="1"/>
    <xf numFmtId="0" fontId="11" fillId="5" borderId="5" xfId="0" applyFont="1" applyFill="1" applyBorder="1" applyAlignment="1">
      <alignment horizontal="center"/>
    </xf>
    <xf numFmtId="4" fontId="11" fillId="5" borderId="36" xfId="0" applyNumberFormat="1" applyFont="1" applyFill="1" applyBorder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6" fillId="0" borderId="12" xfId="0" applyFont="1" applyBorder="1"/>
    <xf numFmtId="4" fontId="6" fillId="0" borderId="12" xfId="0" applyNumberFormat="1" applyFont="1" applyBorder="1"/>
    <xf numFmtId="4" fontId="6" fillId="0" borderId="12" xfId="0" applyNumberFormat="1" applyFont="1" applyBorder="1" applyAlignment="1">
      <alignment horizontal="center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4" fontId="11" fillId="5" borderId="36" xfId="0" applyNumberFormat="1" applyFont="1" applyFill="1" applyBorder="1"/>
    <xf numFmtId="4" fontId="3" fillId="0" borderId="0" xfId="0" applyNumberFormat="1" applyFont="1" applyAlignment="1">
      <alignment horizontal="center"/>
    </xf>
    <xf numFmtId="0" fontId="5" fillId="2" borderId="4" xfId="0" applyFont="1" applyFill="1" applyBorder="1"/>
    <xf numFmtId="0" fontId="12" fillId="2" borderId="36" xfId="0" applyFont="1" applyFill="1" applyBorder="1" applyAlignment="1">
      <alignment horizontal="center"/>
    </xf>
    <xf numFmtId="4" fontId="12" fillId="2" borderId="36" xfId="0" applyNumberFormat="1" applyFont="1" applyFill="1" applyBorder="1" applyAlignment="1">
      <alignment horizontal="center"/>
    </xf>
    <xf numFmtId="4" fontId="12" fillId="2" borderId="6" xfId="0" applyNumberFormat="1" applyFont="1" applyFill="1" applyBorder="1" applyAlignment="1">
      <alignment horizontal="center"/>
    </xf>
    <xf numFmtId="0" fontId="5" fillId="0" borderId="12" xfId="0" applyFont="1" applyBorder="1"/>
    <xf numFmtId="4" fontId="5" fillId="0" borderId="12" xfId="0" applyNumberFormat="1" applyFont="1" applyBorder="1"/>
    <xf numFmtId="4" fontId="5" fillId="0" borderId="12" xfId="0" applyNumberFormat="1" applyFont="1" applyBorder="1" applyAlignment="1">
      <alignment horizontal="center"/>
    </xf>
    <xf numFmtId="4" fontId="12" fillId="2" borderId="36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5" borderId="9" xfId="0" applyFont="1" applyFill="1" applyBorder="1"/>
    <xf numFmtId="4" fontId="7" fillId="5" borderId="30" xfId="0" applyNumberFormat="1" applyFont="1" applyFill="1" applyBorder="1"/>
    <xf numFmtId="0" fontId="3" fillId="0" borderId="1" xfId="0" applyFont="1" applyBorder="1"/>
    <xf numFmtId="4" fontId="3" fillId="0" borderId="2" xfId="0" applyNumberFormat="1" applyFont="1" applyBorder="1"/>
    <xf numFmtId="0" fontId="7" fillId="5" borderId="3" xfId="0" applyFont="1" applyFill="1" applyBorder="1"/>
    <xf numFmtId="0" fontId="4" fillId="5" borderId="10" xfId="0" applyFont="1" applyFill="1" applyBorder="1" applyAlignment="1">
      <alignment horizontal="right"/>
    </xf>
    <xf numFmtId="4" fontId="4" fillId="5" borderId="7" xfId="0" applyNumberFormat="1" applyFont="1" applyFill="1" applyBorder="1"/>
    <xf numFmtId="0" fontId="13" fillId="0" borderId="0" xfId="0" applyFont="1" applyAlignment="1">
      <alignment horizontal="right"/>
    </xf>
    <xf numFmtId="4" fontId="13" fillId="0" borderId="0" xfId="0" applyNumberFormat="1" applyFont="1"/>
    <xf numFmtId="0" fontId="4" fillId="5" borderId="9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5" xfId="0" applyFont="1" applyBorder="1"/>
    <xf numFmtId="0" fontId="1" fillId="0" borderId="1" xfId="0" applyFont="1" applyBorder="1"/>
    <xf numFmtId="0" fontId="3" fillId="0" borderId="3" xfId="0" applyFont="1" applyBorder="1"/>
    <xf numFmtId="0" fontId="13" fillId="0" borderId="10" xfId="0" applyFont="1" applyBorder="1" applyAlignment="1">
      <alignment horizontal="right"/>
    </xf>
    <xf numFmtId="4" fontId="13" fillId="0" borderId="7" xfId="0" applyNumberFormat="1" applyFont="1" applyBorder="1"/>
    <xf numFmtId="0" fontId="7" fillId="5" borderId="4" xfId="0" applyFont="1" applyFill="1" applyBorder="1"/>
    <xf numFmtId="0" fontId="4" fillId="5" borderId="5" xfId="0" applyFont="1" applyFill="1" applyBorder="1" applyAlignment="1">
      <alignment horizontal="right"/>
    </xf>
    <xf numFmtId="4" fontId="4" fillId="5" borderId="6" xfId="0" applyNumberFormat="1" applyFont="1" applyFill="1" applyBorder="1"/>
    <xf numFmtId="0" fontId="1" fillId="0" borderId="4" xfId="0" applyFont="1" applyBorder="1" applyAlignment="1">
      <alignment horizontal="center"/>
    </xf>
    <xf numFmtId="4" fontId="3" fillId="5" borderId="30" xfId="0" applyNumberFormat="1" applyFont="1" applyFill="1" applyBorder="1"/>
    <xf numFmtId="0" fontId="8" fillId="0" borderId="1" xfId="0" applyFont="1" applyBorder="1"/>
    <xf numFmtId="4" fontId="8" fillId="0" borderId="2" xfId="0" applyNumberFormat="1" applyFont="1" applyBorder="1"/>
    <xf numFmtId="0" fontId="3" fillId="5" borderId="3" xfId="0" applyFont="1" applyFill="1" applyBorder="1"/>
    <xf numFmtId="0" fontId="1" fillId="5" borderId="10" xfId="0" applyFont="1" applyFill="1" applyBorder="1" applyAlignment="1">
      <alignment horizontal="right"/>
    </xf>
    <xf numFmtId="4" fontId="1" fillId="5" borderId="7" xfId="0" applyNumberFormat="1" applyFont="1" applyFill="1" applyBorder="1"/>
    <xf numFmtId="0" fontId="1" fillId="5" borderId="8" xfId="0" applyFont="1" applyFill="1" applyBorder="1"/>
    <xf numFmtId="0" fontId="3" fillId="5" borderId="9" xfId="0" applyFont="1" applyFill="1" applyBorder="1"/>
    <xf numFmtId="0" fontId="3" fillId="5" borderId="4" xfId="0" applyFont="1" applyFill="1" applyBorder="1"/>
    <xf numFmtId="0" fontId="1" fillId="5" borderId="5" xfId="0" applyFont="1" applyFill="1" applyBorder="1" applyAlignment="1">
      <alignment horizontal="right"/>
    </xf>
    <xf numFmtId="4" fontId="1" fillId="5" borderId="6" xfId="0" applyNumberFormat="1" applyFont="1" applyFill="1" applyBorder="1"/>
    <xf numFmtId="0" fontId="14" fillId="0" borderId="0" xfId="0" applyFont="1"/>
    <xf numFmtId="0" fontId="4" fillId="5" borderId="36" xfId="0" applyFont="1" applyFill="1" applyBorder="1" applyAlignment="1">
      <alignment horizontal="center"/>
    </xf>
    <xf numFmtId="4" fontId="4" fillId="5" borderId="36" xfId="0" applyNumberFormat="1" applyFont="1" applyFill="1" applyBorder="1" applyAlignment="1">
      <alignment horizontal="center"/>
    </xf>
    <xf numFmtId="0" fontId="3" fillId="0" borderId="13" xfId="0" applyFont="1" applyBorder="1"/>
    <xf numFmtId="4" fontId="3" fillId="0" borderId="13" xfId="0" applyNumberFormat="1" applyFont="1" applyBorder="1"/>
    <xf numFmtId="4" fontId="3" fillId="0" borderId="23" xfId="0" applyNumberFormat="1" applyFont="1" applyBorder="1"/>
    <xf numFmtId="4" fontId="3" fillId="0" borderId="11" xfId="0" applyNumberFormat="1" applyFont="1" applyBorder="1"/>
    <xf numFmtId="0" fontId="3" fillId="0" borderId="12" xfId="0" applyFont="1" applyBorder="1"/>
    <xf numFmtId="4" fontId="3" fillId="0" borderId="12" xfId="0" applyNumberFormat="1" applyFont="1" applyBorder="1"/>
    <xf numFmtId="0" fontId="3" fillId="0" borderId="12" xfId="0" applyFont="1" applyBorder="1" applyAlignment="1">
      <alignment wrapText="1"/>
    </xf>
    <xf numFmtId="0" fontId="2" fillId="0" borderId="25" xfId="0" applyFont="1" applyBorder="1"/>
    <xf numFmtId="4" fontId="15" fillId="0" borderId="25" xfId="0" applyNumberFormat="1" applyFont="1" applyBorder="1"/>
    <xf numFmtId="4" fontId="2" fillId="0" borderId="37" xfId="0" applyNumberFormat="1" applyFont="1" applyBorder="1"/>
    <xf numFmtId="4" fontId="2" fillId="0" borderId="25" xfId="0" applyNumberFormat="1" applyFont="1" applyBorder="1"/>
    <xf numFmtId="0" fontId="2" fillId="0" borderId="38" xfId="0" applyFont="1" applyBorder="1"/>
    <xf numFmtId="0" fontId="7" fillId="5" borderId="36" xfId="0" applyFont="1" applyFill="1" applyBorder="1"/>
    <xf numFmtId="0" fontId="4" fillId="5" borderId="36" xfId="0" applyFont="1" applyFill="1" applyBorder="1"/>
    <xf numFmtId="4" fontId="4" fillId="5" borderId="36" xfId="0" applyNumberFormat="1" applyFont="1" applyFill="1" applyBorder="1"/>
    <xf numFmtId="4" fontId="15" fillId="0" borderId="0" xfId="0" applyNumberFormat="1" applyFont="1"/>
    <xf numFmtId="0" fontId="17" fillId="0" borderId="0" xfId="0" applyFont="1"/>
    <xf numFmtId="0" fontId="2" fillId="3" borderId="12" xfId="0" applyFont="1" applyFill="1" applyBorder="1"/>
    <xf numFmtId="0" fontId="15" fillId="3" borderId="12" xfId="0" applyFont="1" applyFill="1" applyBorder="1" applyAlignment="1">
      <alignment horizontal="center"/>
    </xf>
    <xf numFmtId="4" fontId="15" fillId="3" borderId="12" xfId="0" applyNumberFormat="1" applyFont="1" applyFill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2" fillId="4" borderId="12" xfId="0" applyFont="1" applyFill="1" applyBorder="1"/>
    <xf numFmtId="4" fontId="15" fillId="4" borderId="12" xfId="0" applyNumberFormat="1" applyFont="1" applyFill="1" applyBorder="1"/>
    <xf numFmtId="4" fontId="2" fillId="4" borderId="23" xfId="0" applyNumberFormat="1" applyFont="1" applyFill="1" applyBorder="1"/>
    <xf numFmtId="4" fontId="2" fillId="4" borderId="12" xfId="0" applyNumberFormat="1" applyFont="1" applyFill="1" applyBorder="1"/>
    <xf numFmtId="4" fontId="2" fillId="4" borderId="11" xfId="0" applyNumberFormat="1" applyFont="1" applyFill="1" applyBorder="1"/>
    <xf numFmtId="4" fontId="2" fillId="4" borderId="37" xfId="0" applyNumberFormat="1" applyFont="1" applyFill="1" applyBorder="1"/>
    <xf numFmtId="4" fontId="2" fillId="4" borderId="25" xfId="0" applyNumberFormat="1" applyFont="1" applyFill="1" applyBorder="1"/>
    <xf numFmtId="0" fontId="2" fillId="4" borderId="38" xfId="0" applyFont="1" applyFill="1" applyBorder="1"/>
    <xf numFmtId="0" fontId="15" fillId="3" borderId="12" xfId="0" applyFont="1" applyFill="1" applyBorder="1"/>
    <xf numFmtId="4" fontId="15" fillId="3" borderId="12" xfId="0" applyNumberFormat="1" applyFont="1" applyFill="1" applyBorder="1"/>
    <xf numFmtId="4" fontId="15" fillId="3" borderId="35" xfId="0" applyNumberFormat="1" applyFont="1" applyFill="1" applyBorder="1"/>
    <xf numFmtId="4" fontId="15" fillId="3" borderId="20" xfId="0" applyNumberFormat="1" applyFont="1" applyFill="1" applyBorder="1"/>
    <xf numFmtId="4" fontId="15" fillId="3" borderId="21" xfId="0" applyNumberFormat="1" applyFont="1" applyFill="1" applyBorder="1"/>
    <xf numFmtId="4" fontId="15" fillId="0" borderId="0" xfId="0" quotePrefix="1" applyNumberFormat="1" applyFont="1" applyAlignment="1">
      <alignment horizontal="center"/>
    </xf>
    <xf numFmtId="4" fontId="1" fillId="0" borderId="36" xfId="0" applyNumberFormat="1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4" borderId="0" xfId="0" applyFont="1" applyFill="1" applyAlignment="1">
      <alignment horizontal="right"/>
    </xf>
    <xf numFmtId="0" fontId="18" fillId="4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17" fontId="15" fillId="0" borderId="0" xfId="0" quotePrefix="1" applyNumberFormat="1" applyFont="1"/>
    <xf numFmtId="9" fontId="15" fillId="0" borderId="0" xfId="0" applyNumberFormat="1" applyFont="1" applyAlignment="1">
      <alignment horizontal="center"/>
    </xf>
    <xf numFmtId="4" fontId="15" fillId="0" borderId="0" xfId="0" applyNumberFormat="1" applyFont="1" applyAlignment="1">
      <alignment horizontal="center"/>
    </xf>
    <xf numFmtId="0" fontId="2" fillId="0" borderId="0" xfId="0" quotePrefix="1" applyFont="1"/>
    <xf numFmtId="17" fontId="2" fillId="0" borderId="0" xfId="0" quotePrefix="1" applyNumberFormat="1" applyFont="1"/>
    <xf numFmtId="4" fontId="15" fillId="0" borderId="0" xfId="0" quotePrefix="1" applyNumberFormat="1" applyFont="1"/>
    <xf numFmtId="9" fontId="2" fillId="0" borderId="0" xfId="0" applyNumberFormat="1" applyFont="1" applyAlignment="1">
      <alignment horizontal="center"/>
    </xf>
    <xf numFmtId="9" fontId="2" fillId="0" borderId="0" xfId="0" applyNumberFormat="1" applyFont="1"/>
    <xf numFmtId="0" fontId="15" fillId="0" borderId="21" xfId="0" applyFont="1" applyBorder="1" applyAlignment="1">
      <alignment horizontal="center"/>
    </xf>
    <xf numFmtId="0" fontId="19" fillId="0" borderId="0" xfId="0" applyFont="1" applyAlignment="1">
      <alignment horizontal="right"/>
    </xf>
    <xf numFmtId="4" fontId="20" fillId="0" borderId="0" xfId="0" applyNumberFormat="1" applyFont="1"/>
    <xf numFmtId="4" fontId="19" fillId="0" borderId="0" xfId="0" applyNumberFormat="1" applyFont="1"/>
    <xf numFmtId="0" fontId="19" fillId="0" borderId="0" xfId="0" applyFont="1"/>
    <xf numFmtId="4" fontId="18" fillId="0" borderId="0" xfId="0" applyNumberFormat="1" applyFont="1"/>
    <xf numFmtId="4" fontId="21" fillId="0" borderId="0" xfId="0" applyNumberFormat="1" applyFont="1"/>
    <xf numFmtId="0" fontId="18" fillId="0" borderId="0" xfId="0" applyFont="1"/>
    <xf numFmtId="4" fontId="1" fillId="0" borderId="0" xfId="0" applyNumberFormat="1" applyFont="1"/>
    <xf numFmtId="0" fontId="12" fillId="0" borderId="0" xfId="0" applyFont="1"/>
    <xf numFmtId="0" fontId="4" fillId="5" borderId="36" xfId="0" applyFont="1" applyFill="1" applyBorder="1" applyAlignment="1" applyProtection="1">
      <alignment horizontal="center"/>
      <protection locked="0"/>
    </xf>
    <xf numFmtId="4" fontId="4" fillId="5" borderId="36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/>
    <xf numFmtId="4" fontId="3" fillId="0" borderId="14" xfId="0" applyNumberFormat="1" applyFont="1" applyBorder="1"/>
    <xf numFmtId="4" fontId="3" fillId="0" borderId="24" xfId="0" applyNumberFormat="1" applyFont="1" applyBorder="1"/>
    <xf numFmtId="4" fontId="1" fillId="0" borderId="15" xfId="0" applyNumberFormat="1" applyFont="1" applyBorder="1"/>
    <xf numFmtId="0" fontId="1" fillId="0" borderId="2" xfId="0" applyFont="1" applyBorder="1"/>
    <xf numFmtId="4" fontId="3" fillId="0" borderId="26" xfId="0" applyNumberFormat="1" applyFont="1" applyBorder="1"/>
    <xf numFmtId="4" fontId="1" fillId="0" borderId="16" xfId="0" applyNumberFormat="1" applyFont="1" applyBorder="1"/>
    <xf numFmtId="4" fontId="3" fillId="0" borderId="28" xfId="0" applyNumberFormat="1" applyFont="1" applyBorder="1"/>
    <xf numFmtId="4" fontId="1" fillId="0" borderId="29" xfId="0" applyNumberFormat="1" applyFont="1" applyBorder="1"/>
    <xf numFmtId="4" fontId="4" fillId="5" borderId="48" xfId="0" applyNumberFormat="1" applyFont="1" applyFill="1" applyBorder="1"/>
    <xf numFmtId="4" fontId="1" fillId="0" borderId="12" xfId="0" applyNumberFormat="1" applyFont="1" applyBorder="1"/>
    <xf numFmtId="4" fontId="1" fillId="0" borderId="26" xfId="0" applyNumberFormat="1" applyFont="1" applyBorder="1"/>
    <xf numFmtId="0" fontId="22" fillId="0" borderId="0" xfId="0" applyFont="1" applyAlignment="1">
      <alignment vertical="center" wrapText="1"/>
    </xf>
    <xf numFmtId="4" fontId="1" fillId="0" borderId="13" xfId="0" applyNumberFormat="1" applyFont="1" applyBorder="1"/>
    <xf numFmtId="4" fontId="1" fillId="0" borderId="28" xfId="0" applyNumberFormat="1" applyFont="1" applyBorder="1"/>
    <xf numFmtId="4" fontId="1" fillId="0" borderId="2" xfId="0" applyNumberFormat="1" applyFont="1" applyBorder="1"/>
    <xf numFmtId="0" fontId="1" fillId="0" borderId="0" xfId="0" applyFont="1" applyAlignment="1">
      <alignment horizontal="right"/>
    </xf>
    <xf numFmtId="2" fontId="3" fillId="0" borderId="0" xfId="0" applyNumberFormat="1" applyFont="1"/>
    <xf numFmtId="4" fontId="3" fillId="0" borderId="25" xfId="0" applyNumberFormat="1" applyFont="1" applyBorder="1"/>
    <xf numFmtId="4" fontId="1" fillId="0" borderId="27" xfId="0" applyNumberFormat="1" applyFont="1" applyBorder="1"/>
    <xf numFmtId="43" fontId="3" fillId="0" borderId="0" xfId="0" applyNumberFormat="1" applyFont="1"/>
    <xf numFmtId="4" fontId="3" fillId="0" borderId="55" xfId="0" applyNumberFormat="1" applyFont="1" applyBorder="1"/>
    <xf numFmtId="4" fontId="3" fillId="0" borderId="57" xfId="0" applyNumberFormat="1" applyFont="1" applyBorder="1"/>
    <xf numFmtId="4" fontId="3" fillId="0" borderId="38" xfId="0" applyNumberFormat="1" applyFont="1" applyBorder="1"/>
    <xf numFmtId="4" fontId="3" fillId="0" borderId="56" xfId="0" applyNumberFormat="1" applyFont="1" applyBorder="1"/>
    <xf numFmtId="4" fontId="3" fillId="0" borderId="58" xfId="0" applyNumberFormat="1" applyFont="1" applyBorder="1"/>
    <xf numFmtId="4" fontId="3" fillId="0" borderId="51" xfId="0" applyNumberFormat="1" applyFont="1" applyBorder="1"/>
    <xf numFmtId="4" fontId="3" fillId="0" borderId="53" xfId="0" applyNumberFormat="1" applyFont="1" applyBorder="1"/>
    <xf numFmtId="4" fontId="4" fillId="5" borderId="54" xfId="0" applyNumberFormat="1" applyFont="1" applyFill="1" applyBorder="1"/>
    <xf numFmtId="4" fontId="3" fillId="0" borderId="39" xfId="0" applyNumberFormat="1" applyFont="1" applyBorder="1"/>
    <xf numFmtId="4" fontId="3" fillId="0" borderId="40" xfId="0" applyNumberFormat="1" applyFont="1" applyBorder="1"/>
    <xf numFmtId="4" fontId="1" fillId="0" borderId="32" xfId="0" applyNumberFormat="1" applyFont="1" applyBorder="1"/>
    <xf numFmtId="0" fontId="4" fillId="5" borderId="4" xfId="0" applyFont="1" applyFill="1" applyBorder="1"/>
    <xf numFmtId="0" fontId="7" fillId="5" borderId="5" xfId="0" applyFont="1" applyFill="1" applyBorder="1"/>
    <xf numFmtId="0" fontId="7" fillId="5" borderId="6" xfId="0" applyFont="1" applyFill="1" applyBorder="1"/>
    <xf numFmtId="4" fontId="3" fillId="0" borderId="22" xfId="0" applyNumberFormat="1" applyFont="1" applyBorder="1"/>
    <xf numFmtId="4" fontId="3" fillId="0" borderId="37" xfId="0" applyNumberFormat="1" applyFont="1" applyBorder="1"/>
    <xf numFmtId="4" fontId="3" fillId="0" borderId="31" xfId="0" applyNumberFormat="1" applyFont="1" applyBorder="1"/>
    <xf numFmtId="4" fontId="1" fillId="0" borderId="23" xfId="0" applyNumberFormat="1" applyFont="1" applyBorder="1"/>
    <xf numFmtId="4" fontId="3" fillId="0" borderId="34" xfId="0" applyNumberFormat="1" applyFont="1" applyBorder="1"/>
    <xf numFmtId="4" fontId="1" fillId="0" borderId="31" xfId="0" applyNumberFormat="1" applyFont="1" applyBorder="1"/>
    <xf numFmtId="4" fontId="3" fillId="0" borderId="19" xfId="0" applyNumberFormat="1" applyFont="1" applyBorder="1"/>
    <xf numFmtId="4" fontId="1" fillId="0" borderId="50" xfId="0" applyNumberFormat="1" applyFont="1" applyBorder="1"/>
    <xf numFmtId="4" fontId="3" fillId="0" borderId="52" xfId="0" applyNumberFormat="1" applyFont="1" applyBorder="1"/>
    <xf numFmtId="4" fontId="3" fillId="0" borderId="49" xfId="0" applyNumberFormat="1" applyFont="1" applyBorder="1"/>
    <xf numFmtId="4" fontId="1" fillId="0" borderId="47" xfId="0" applyNumberFormat="1" applyFont="1" applyBorder="1"/>
    <xf numFmtId="4" fontId="1" fillId="0" borderId="60" xfId="0" applyNumberFormat="1" applyFont="1" applyBorder="1"/>
    <xf numFmtId="0" fontId="3" fillId="0" borderId="8" xfId="0" applyFont="1" applyBorder="1"/>
    <xf numFmtId="4" fontId="1" fillId="0" borderId="19" xfId="0" applyNumberFormat="1" applyFont="1" applyBorder="1"/>
    <xf numFmtId="4" fontId="3" fillId="0" borderId="33" xfId="0" applyNumberFormat="1" applyFont="1" applyBorder="1"/>
    <xf numFmtId="0" fontId="4" fillId="5" borderId="5" xfId="0" applyFont="1" applyFill="1" applyBorder="1" applyAlignment="1">
      <alignment horizontal="center"/>
    </xf>
    <xf numFmtId="4" fontId="3" fillId="0" borderId="29" xfId="0" applyNumberFormat="1" applyFont="1" applyBorder="1"/>
    <xf numFmtId="4" fontId="3" fillId="0" borderId="16" xfId="0" applyNumberFormat="1" applyFont="1" applyBorder="1"/>
    <xf numFmtId="0" fontId="23" fillId="0" borderId="0" xfId="0" applyFont="1" applyAlignment="1">
      <alignment wrapText="1"/>
    </xf>
    <xf numFmtId="4" fontId="3" fillId="0" borderId="32" xfId="0" applyNumberFormat="1" applyFont="1" applyBorder="1"/>
    <xf numFmtId="0" fontId="2" fillId="0" borderId="8" xfId="0" applyFont="1" applyBorder="1"/>
    <xf numFmtId="0" fontId="2" fillId="0" borderId="9" xfId="0" applyFont="1" applyBorder="1"/>
    <xf numFmtId="4" fontId="15" fillId="0" borderId="30" xfId="0" applyNumberFormat="1" applyFont="1" applyBorder="1"/>
    <xf numFmtId="4" fontId="3" fillId="0" borderId="18" xfId="0" applyNumberFormat="1" applyFont="1" applyBorder="1"/>
    <xf numFmtId="4" fontId="3" fillId="0" borderId="17" xfId="0" applyNumberFormat="1" applyFont="1" applyBorder="1"/>
    <xf numFmtId="0" fontId="15" fillId="0" borderId="1" xfId="0" applyFont="1" applyBorder="1"/>
    <xf numFmtId="4" fontId="15" fillId="0" borderId="2" xfId="0" applyNumberFormat="1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4" fontId="3" fillId="0" borderId="42" xfId="0" applyNumberFormat="1" applyFont="1" applyBorder="1"/>
    <xf numFmtId="4" fontId="3" fillId="0" borderId="43" xfId="0" applyNumberFormat="1" applyFont="1" applyBorder="1"/>
    <xf numFmtId="0" fontId="1" fillId="0" borderId="0" xfId="0" applyFont="1" applyAlignment="1">
      <alignment wrapText="1"/>
    </xf>
    <xf numFmtId="4" fontId="3" fillId="0" borderId="59" xfId="0" applyNumberFormat="1" applyFont="1" applyBorder="1"/>
    <xf numFmtId="4" fontId="3" fillId="0" borderId="41" xfId="0" applyNumberFormat="1" applyFont="1" applyBorder="1"/>
    <xf numFmtId="4" fontId="3" fillId="0" borderId="47" xfId="0" applyNumberFormat="1" applyFont="1" applyBorder="1"/>
    <xf numFmtId="4" fontId="1" fillId="0" borderId="42" xfId="0" applyNumberFormat="1" applyFont="1" applyBorder="1"/>
    <xf numFmtId="4" fontId="3" fillId="0" borderId="44" xfId="0" applyNumberFormat="1" applyFont="1" applyBorder="1"/>
    <xf numFmtId="4" fontId="3" fillId="0" borderId="45" xfId="0" applyNumberFormat="1" applyFont="1" applyBorder="1"/>
    <xf numFmtId="4" fontId="3" fillId="0" borderId="46" xfId="0" applyNumberFormat="1" applyFont="1" applyBorder="1"/>
    <xf numFmtId="0" fontId="4" fillId="5" borderId="6" xfId="0" applyFont="1" applyFill="1" applyBorder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7" fillId="5" borderId="6" xfId="0" applyNumberFormat="1" applyFont="1" applyFill="1" applyBorder="1"/>
    <xf numFmtId="2" fontId="7" fillId="5" borderId="14" xfId="0" applyNumberFormat="1" applyFont="1" applyFill="1" applyBorder="1" applyAlignment="1">
      <alignment horizontal="right"/>
    </xf>
    <xf numFmtId="2" fontId="7" fillId="5" borderId="17" xfId="0" applyNumberFormat="1" applyFont="1" applyFill="1" applyBorder="1" applyAlignment="1">
      <alignment horizontal="right"/>
    </xf>
    <xf numFmtId="4" fontId="4" fillId="5" borderId="15" xfId="0" applyNumberFormat="1" applyFont="1" applyFill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1" fillId="0" borderId="27" xfId="0" applyNumberFormat="1" applyFont="1" applyBorder="1" applyAlignment="1">
      <alignment horizontal="right"/>
    </xf>
    <xf numFmtId="0" fontId="4" fillId="5" borderId="36" xfId="0" applyFont="1" applyFill="1" applyBorder="1" applyAlignment="1">
      <alignment horizontal="right"/>
    </xf>
    <xf numFmtId="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2" fontId="7" fillId="5" borderId="24" xfId="0" applyNumberFormat="1" applyFont="1" applyFill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right"/>
    </xf>
    <xf numFmtId="4" fontId="4" fillId="5" borderId="36" xfId="0" applyNumberFormat="1" applyFont="1" applyFill="1" applyBorder="1" applyAlignment="1">
      <alignment horizontal="right"/>
    </xf>
    <xf numFmtId="4" fontId="3" fillId="0" borderId="26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right"/>
    </xf>
    <xf numFmtId="4" fontId="1" fillId="0" borderId="19" xfId="0" applyNumberFormat="1" applyFont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39" fontId="3" fillId="0" borderId="0" xfId="0" applyNumberFormat="1" applyFont="1"/>
    <xf numFmtId="3" fontId="15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0" fontId="11" fillId="0" borderId="10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5" borderId="4" xfId="0" applyFont="1" applyFill="1" applyBorder="1" applyAlignment="1">
      <alignment horizontal="right"/>
    </xf>
    <xf numFmtId="0" fontId="11" fillId="5" borderId="5" xfId="0" applyFont="1" applyFill="1" applyBorder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4" fontId="4" fillId="0" borderId="5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1" fillId="5" borderId="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17" fontId="3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4" fillId="5" borderId="4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0" fontId="4" fillId="5" borderId="6" xfId="0" applyFont="1" applyFill="1" applyBorder="1" applyAlignment="1">
      <alignment horizontal="right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right" wrapText="1"/>
    </xf>
    <xf numFmtId="0" fontId="4" fillId="5" borderId="6" xfId="0" applyFont="1" applyFill="1" applyBorder="1" applyAlignment="1">
      <alignment horizontal="right" wrapText="1"/>
    </xf>
    <xf numFmtId="0" fontId="5" fillId="0" borderId="10" xfId="0" applyFont="1" applyBorder="1"/>
    <xf numFmtId="4" fontId="4" fillId="5" borderId="4" xfId="0" applyNumberFormat="1" applyFont="1" applyFill="1" applyBorder="1" applyAlignment="1">
      <alignment horizontal="right"/>
    </xf>
    <xf numFmtId="4" fontId="4" fillId="5" borderId="6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6637"/>
      <color rgb="FFF89708"/>
      <color rgb="FFF84D08"/>
      <color rgb="FFFF99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638175</xdr:colOff>
      <xdr:row>181</xdr:row>
      <xdr:rowOff>57150</xdr:rowOff>
    </xdr:from>
    <xdr:to>
      <xdr:col>16</xdr:col>
      <xdr:colOff>647700</xdr:colOff>
      <xdr:row>181</xdr:row>
      <xdr:rowOff>628650</xdr:rowOff>
    </xdr:to>
    <xdr:pic>
      <xdr:nvPicPr>
        <xdr:cNvPr id="18141" name="Picture 22" descr="Logo-IMPLAN-Digital">
          <a:extLst>
            <a:ext uri="{FF2B5EF4-FFF2-40B4-BE49-F238E27FC236}">
              <a16:creationId xmlns:a16="http://schemas.microsoft.com/office/drawing/2014/main" id="{00000000-0008-0000-0300-0000DD4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06200" y="29317950"/>
          <a:ext cx="676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638175</xdr:colOff>
      <xdr:row>181</xdr:row>
      <xdr:rowOff>57150</xdr:rowOff>
    </xdr:from>
    <xdr:to>
      <xdr:col>16</xdr:col>
      <xdr:colOff>647700</xdr:colOff>
      <xdr:row>181</xdr:row>
      <xdr:rowOff>628650</xdr:rowOff>
    </xdr:to>
    <xdr:pic>
      <xdr:nvPicPr>
        <xdr:cNvPr id="18148" name="Picture 22" descr="Logo-IMPLAN-Digital">
          <a:extLst>
            <a:ext uri="{FF2B5EF4-FFF2-40B4-BE49-F238E27FC236}">
              <a16:creationId xmlns:a16="http://schemas.microsoft.com/office/drawing/2014/main" id="{00000000-0008-0000-0300-0000E44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06200" y="29317950"/>
          <a:ext cx="676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638175</xdr:colOff>
      <xdr:row>181</xdr:row>
      <xdr:rowOff>57150</xdr:rowOff>
    </xdr:from>
    <xdr:to>
      <xdr:col>16</xdr:col>
      <xdr:colOff>647700</xdr:colOff>
      <xdr:row>181</xdr:row>
      <xdr:rowOff>628650</xdr:rowOff>
    </xdr:to>
    <xdr:pic>
      <xdr:nvPicPr>
        <xdr:cNvPr id="18155" name="Picture 22" descr="Logo-IMPLAN-Digital">
          <a:extLst>
            <a:ext uri="{FF2B5EF4-FFF2-40B4-BE49-F238E27FC236}">
              <a16:creationId xmlns:a16="http://schemas.microsoft.com/office/drawing/2014/main" id="{00000000-0008-0000-0300-0000EB4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06200" y="29317950"/>
          <a:ext cx="676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638175</xdr:colOff>
      <xdr:row>181</xdr:row>
      <xdr:rowOff>57150</xdr:rowOff>
    </xdr:from>
    <xdr:to>
      <xdr:col>16</xdr:col>
      <xdr:colOff>647700</xdr:colOff>
      <xdr:row>181</xdr:row>
      <xdr:rowOff>628650</xdr:rowOff>
    </xdr:to>
    <xdr:pic>
      <xdr:nvPicPr>
        <xdr:cNvPr id="18162" name="Picture 22" descr="Logo-IMPLAN-Digital">
          <a:extLst>
            <a:ext uri="{FF2B5EF4-FFF2-40B4-BE49-F238E27FC236}">
              <a16:creationId xmlns:a16="http://schemas.microsoft.com/office/drawing/2014/main" id="{00000000-0008-0000-0300-0000F24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06200" y="29317950"/>
          <a:ext cx="676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workbookViewId="0">
      <selection activeCell="E13" sqref="E13"/>
    </sheetView>
  </sheetViews>
  <sheetFormatPr baseColWidth="10" defaultRowHeight="13.2" x14ac:dyDescent="0.25"/>
  <cols>
    <col min="1" max="1" width="7.6640625" style="4" bestFit="1" customWidth="1"/>
    <col min="2" max="2" width="45" style="4" bestFit="1" customWidth="1"/>
    <col min="3" max="3" width="21.6640625" style="4" bestFit="1" customWidth="1"/>
    <col min="4" max="4" width="25.109375" style="23" bestFit="1" customWidth="1"/>
    <col min="5" max="5" width="22.5546875" style="4" bestFit="1" customWidth="1"/>
    <col min="6" max="6" width="12.6640625" style="4" bestFit="1" customWidth="1"/>
    <col min="7" max="7" width="11.6640625" style="4" bestFit="1" customWidth="1"/>
    <col min="8" max="14" width="11.44140625" style="4"/>
  </cols>
  <sheetData>
    <row r="1" spans="1:5" ht="22.8" x14ac:dyDescent="0.25">
      <c r="A1" s="247" t="s">
        <v>66</v>
      </c>
      <c r="B1" s="247"/>
      <c r="C1" s="247"/>
      <c r="D1" s="247"/>
      <c r="E1" s="247"/>
    </row>
    <row r="2" spans="1:5" ht="45" customHeight="1" x14ac:dyDescent="0.4">
      <c r="A2" s="248" t="s">
        <v>477</v>
      </c>
      <c r="B2" s="248"/>
      <c r="C2" s="248"/>
      <c r="D2" s="248"/>
      <c r="E2" s="248"/>
    </row>
    <row r="3" spans="1:5" ht="39.75" customHeight="1" x14ac:dyDescent="0.25"/>
    <row r="4" spans="1:5" ht="21.6" thickBot="1" x14ac:dyDescent="0.3">
      <c r="B4" s="249" t="s">
        <v>478</v>
      </c>
      <c r="C4" s="249"/>
      <c r="D4" s="249"/>
      <c r="E4" s="249"/>
    </row>
    <row r="5" spans="1:5" ht="21.6" thickBot="1" x14ac:dyDescent="0.45">
      <c r="A5" s="24"/>
      <c r="B5" s="25" t="s">
        <v>2</v>
      </c>
      <c r="C5" s="26"/>
      <c r="D5" s="26" t="s">
        <v>72</v>
      </c>
      <c r="E5" s="26" t="s">
        <v>0</v>
      </c>
    </row>
    <row r="6" spans="1:5" ht="17.399999999999999" x14ac:dyDescent="0.3">
      <c r="A6" s="15"/>
      <c r="B6" s="15"/>
      <c r="C6" s="27"/>
      <c r="D6" s="28"/>
      <c r="E6" s="15"/>
    </row>
    <row r="7" spans="1:5" ht="20.399999999999999" x14ac:dyDescent="0.35">
      <c r="A7" s="29"/>
      <c r="B7" s="29" t="s">
        <v>63</v>
      </c>
      <c r="C7" s="30"/>
      <c r="D7" s="31">
        <f>E7/E15*100</f>
        <v>98.114733240716092</v>
      </c>
      <c r="E7" s="30">
        <f>ING!E5</f>
        <v>17817664.519113906</v>
      </c>
    </row>
    <row r="8" spans="1:5" ht="17.399999999999999" x14ac:dyDescent="0.3">
      <c r="A8" s="15"/>
      <c r="B8" s="15"/>
      <c r="C8" s="27"/>
      <c r="D8" s="28"/>
      <c r="E8" s="27"/>
    </row>
    <row r="9" spans="1:5" ht="20.399999999999999" x14ac:dyDescent="0.35">
      <c r="A9" s="29"/>
      <c r="B9" s="29" t="s">
        <v>65</v>
      </c>
      <c r="C9" s="30"/>
      <c r="D9" s="31">
        <f>E9/E15*100</f>
        <v>1.6099368103574843</v>
      </c>
      <c r="E9" s="30">
        <f>ING!E34</f>
        <v>292365</v>
      </c>
    </row>
    <row r="10" spans="1:5" ht="17.399999999999999" x14ac:dyDescent="0.3">
      <c r="A10" s="15"/>
      <c r="B10" s="15"/>
      <c r="C10" s="27"/>
      <c r="D10" s="28"/>
      <c r="E10" s="27"/>
    </row>
    <row r="11" spans="1:5" ht="20.399999999999999" x14ac:dyDescent="0.35">
      <c r="A11" s="29"/>
      <c r="B11" s="29" t="s">
        <v>78</v>
      </c>
      <c r="C11" s="30"/>
      <c r="D11" s="31">
        <f>E11/E15*100</f>
        <v>0</v>
      </c>
      <c r="E11" s="30">
        <f>ING!E38</f>
        <v>0</v>
      </c>
    </row>
    <row r="12" spans="1:5" ht="17.399999999999999" x14ac:dyDescent="0.3">
      <c r="A12" s="15"/>
      <c r="B12" s="15"/>
      <c r="C12" s="27"/>
      <c r="D12" s="28"/>
      <c r="E12" s="27"/>
    </row>
    <row r="13" spans="1:5" ht="20.399999999999999" x14ac:dyDescent="0.35">
      <c r="A13" s="29"/>
      <c r="B13" s="29" t="s">
        <v>70</v>
      </c>
      <c r="C13" s="30"/>
      <c r="D13" s="31">
        <f>E13/E15*100</f>
        <v>0.27532994892642487</v>
      </c>
      <c r="E13" s="30">
        <f>ING!E41</f>
        <v>50000</v>
      </c>
    </row>
    <row r="14" spans="1:5" ht="18" thickBot="1" x14ac:dyDescent="0.35">
      <c r="A14" s="15"/>
      <c r="B14" s="15"/>
      <c r="C14" s="32"/>
      <c r="D14" s="33"/>
      <c r="E14" s="32"/>
    </row>
    <row r="15" spans="1:5" ht="21.6" thickBot="1" x14ac:dyDescent="0.45">
      <c r="A15" s="250" t="s">
        <v>14</v>
      </c>
      <c r="B15" s="251"/>
      <c r="C15" s="34"/>
      <c r="D15" s="26"/>
      <c r="E15" s="34">
        <f>SUM(E7:E14)</f>
        <v>18160029.519113906</v>
      </c>
    </row>
    <row r="16" spans="1:5" x14ac:dyDescent="0.25">
      <c r="C16" s="5"/>
      <c r="D16" s="35"/>
    </row>
    <row r="17" spans="1:7" ht="55.5" customHeight="1" x14ac:dyDescent="0.25"/>
    <row r="18" spans="1:7" ht="21.6" hidden="1" thickBot="1" x14ac:dyDescent="0.3">
      <c r="B18" s="244" t="s">
        <v>180</v>
      </c>
      <c r="C18" s="244"/>
      <c r="D18" s="244"/>
      <c r="E18" s="244"/>
    </row>
    <row r="19" spans="1:7" ht="18" hidden="1" thickBot="1" x14ac:dyDescent="0.35">
      <c r="A19" s="36" t="s">
        <v>62</v>
      </c>
      <c r="B19" s="37" t="s">
        <v>2</v>
      </c>
      <c r="C19" s="38"/>
      <c r="D19" s="38" t="s">
        <v>72</v>
      </c>
      <c r="E19" s="39" t="s">
        <v>0</v>
      </c>
    </row>
    <row r="20" spans="1:7" ht="17.399999999999999" hidden="1" x14ac:dyDescent="0.3">
      <c r="A20" s="15"/>
      <c r="B20" s="15"/>
      <c r="C20" s="27"/>
      <c r="D20" s="28"/>
      <c r="E20" s="15"/>
    </row>
    <row r="21" spans="1:7" ht="17.399999999999999" hidden="1" x14ac:dyDescent="0.3">
      <c r="A21" s="40">
        <v>1000</v>
      </c>
      <c r="B21" s="40" t="s">
        <v>3</v>
      </c>
      <c r="C21" s="41"/>
      <c r="D21" s="42">
        <f>E21/$E$31*100</f>
        <v>52.00152076707014</v>
      </c>
      <c r="E21" s="41">
        <f>EGR!C6</f>
        <v>9265456.5151139069</v>
      </c>
    </row>
    <row r="22" spans="1:7" ht="17.399999999999999" hidden="1" x14ac:dyDescent="0.3">
      <c r="A22" s="15"/>
      <c r="B22" s="15"/>
      <c r="C22" s="32"/>
      <c r="D22" s="33"/>
      <c r="E22" s="32"/>
    </row>
    <row r="23" spans="1:7" ht="17.399999999999999" hidden="1" x14ac:dyDescent="0.3">
      <c r="A23" s="40">
        <v>2000</v>
      </c>
      <c r="B23" s="40" t="s">
        <v>5</v>
      </c>
      <c r="C23" s="41"/>
      <c r="D23" s="42">
        <f>E23/$E$31*100</f>
        <v>0.77775625335935805</v>
      </c>
      <c r="E23" s="41">
        <f>EGR!C18</f>
        <v>138578</v>
      </c>
      <c r="F23" s="5"/>
    </row>
    <row r="24" spans="1:7" ht="17.399999999999999" hidden="1" x14ac:dyDescent="0.3">
      <c r="A24" s="15"/>
      <c r="B24" s="15"/>
      <c r="C24" s="32"/>
      <c r="D24" s="33"/>
      <c r="E24" s="32"/>
    </row>
    <row r="25" spans="1:7" ht="17.399999999999999" hidden="1" x14ac:dyDescent="0.3">
      <c r="A25" s="40">
        <v>3000</v>
      </c>
      <c r="B25" s="40" t="s">
        <v>9</v>
      </c>
      <c r="C25" s="41"/>
      <c r="D25" s="42">
        <f>E25/$E$31*100</f>
        <v>24.752680573084064</v>
      </c>
      <c r="E25" s="41">
        <f>EGR!C52</f>
        <v>4410349.5839999998</v>
      </c>
    </row>
    <row r="26" spans="1:7" ht="17.399999999999999" hidden="1" x14ac:dyDescent="0.3">
      <c r="A26" s="15"/>
      <c r="B26" s="15"/>
      <c r="C26" s="32"/>
      <c r="D26" s="33"/>
      <c r="E26" s="32"/>
    </row>
    <row r="27" spans="1:7" ht="17.399999999999999" hidden="1" x14ac:dyDescent="0.3">
      <c r="A27" s="40">
        <v>5000</v>
      </c>
      <c r="B27" s="40" t="s">
        <v>13</v>
      </c>
      <c r="C27" s="41"/>
      <c r="D27" s="42">
        <f>E27/$E$31*100</f>
        <v>1.8411054919576741E-2</v>
      </c>
      <c r="E27" s="41">
        <f>EGR!C62</f>
        <v>3280.42</v>
      </c>
      <c r="F27" s="5">
        <f>SUM(E21:E27)</f>
        <v>13817664.519113908</v>
      </c>
    </row>
    <row r="28" spans="1:7" ht="17.399999999999999" hidden="1" x14ac:dyDescent="0.3">
      <c r="A28" s="15"/>
      <c r="B28" s="15"/>
      <c r="C28" s="27"/>
      <c r="D28" s="28"/>
      <c r="E28" s="27"/>
      <c r="F28" s="5"/>
      <c r="G28" s="5"/>
    </row>
    <row r="29" spans="1:7" ht="17.399999999999999" hidden="1" x14ac:dyDescent="0.3">
      <c r="A29" s="40">
        <v>6000</v>
      </c>
      <c r="B29" s="40" t="s">
        <v>15</v>
      </c>
      <c r="C29" s="41"/>
      <c r="D29" s="42">
        <f>E29/$E$31*100</f>
        <v>22.449631351566861</v>
      </c>
      <c r="E29" s="41">
        <f>EGR!C66</f>
        <v>4000000</v>
      </c>
      <c r="F29" s="5">
        <f>E15-F27</f>
        <v>4342364.9999999981</v>
      </c>
    </row>
    <row r="30" spans="1:7" ht="18" hidden="1" thickBot="1" x14ac:dyDescent="0.35">
      <c r="A30" s="15"/>
      <c r="B30" s="15"/>
      <c r="C30" s="27"/>
      <c r="D30" s="28"/>
      <c r="E30" s="15"/>
    </row>
    <row r="31" spans="1:7" ht="18" hidden="1" thickBot="1" x14ac:dyDescent="0.35">
      <c r="A31" s="245" t="s">
        <v>14</v>
      </c>
      <c r="B31" s="246"/>
      <c r="C31" s="43"/>
      <c r="D31" s="38">
        <f>SUM(D21:D30)</f>
        <v>100.00000000000001</v>
      </c>
      <c r="E31" s="43">
        <f>E21+E23+E25+E27+E29</f>
        <v>17817664.519113906</v>
      </c>
      <c r="F31" s="5">
        <f>E31-20000</f>
        <v>17797664.519113906</v>
      </c>
    </row>
    <row r="32" spans="1:7" hidden="1" x14ac:dyDescent="0.25">
      <c r="C32" s="5"/>
      <c r="D32" s="35"/>
      <c r="F32" s="5">
        <f>E15-E31</f>
        <v>342365</v>
      </c>
    </row>
    <row r="33" spans="3:6" hidden="1" x14ac:dyDescent="0.25">
      <c r="C33" s="6"/>
      <c r="D33" s="35"/>
    </row>
    <row r="36" spans="3:6" x14ac:dyDescent="0.25">
      <c r="E36" s="5"/>
      <c r="F36" s="5"/>
    </row>
    <row r="37" spans="3:6" x14ac:dyDescent="0.25">
      <c r="E37" s="5"/>
      <c r="F37" s="5"/>
    </row>
    <row r="38" spans="3:6" x14ac:dyDescent="0.25">
      <c r="E38" s="5"/>
    </row>
    <row r="39" spans="3:6" x14ac:dyDescent="0.25">
      <c r="E39" s="5"/>
    </row>
  </sheetData>
  <mergeCells count="6">
    <mergeCell ref="B18:E18"/>
    <mergeCell ref="A31:B31"/>
    <mergeCell ref="A1:E1"/>
    <mergeCell ref="A2:E2"/>
    <mergeCell ref="B4:E4"/>
    <mergeCell ref="A15:B15"/>
  </mergeCells>
  <phoneticPr fontId="0" type="noConversion"/>
  <printOptions horizontalCentered="1"/>
  <pageMargins left="0.74803149606299213" right="0.74803149606299213" top="2.1653543307086616" bottom="2.1653543307086616" header="0" footer="0"/>
  <pageSetup scale="7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zoomScaleNormal="100" zoomScaleSheetLayoutView="130" workbookViewId="0">
      <selection activeCell="E5" sqref="E5"/>
    </sheetView>
  </sheetViews>
  <sheetFormatPr baseColWidth="10" defaultRowHeight="13.2" x14ac:dyDescent="0.25"/>
  <cols>
    <col min="1" max="1" width="9.5546875" style="4" customWidth="1"/>
    <col min="2" max="2" width="71.44140625" style="4" bestFit="1" customWidth="1"/>
    <col min="3" max="3" width="10.109375" style="4" bestFit="1" customWidth="1"/>
    <col min="4" max="4" width="6.6640625" style="4" bestFit="1" customWidth="1"/>
    <col min="5" max="5" width="16.6640625" style="5" bestFit="1" customWidth="1"/>
    <col min="6" max="6" width="11.6640625" style="6" bestFit="1" customWidth="1"/>
    <col min="7" max="12" width="11.44140625" style="4"/>
  </cols>
  <sheetData>
    <row r="1" spans="1:5" s="11" customFormat="1" ht="46.5" customHeight="1" thickBot="1" x14ac:dyDescent="0.4">
      <c r="A1" s="252" t="s">
        <v>459</v>
      </c>
      <c r="B1" s="252"/>
      <c r="C1" s="252"/>
      <c r="D1" s="252"/>
      <c r="E1" s="252"/>
    </row>
    <row r="2" spans="1:5" ht="16.2" thickBot="1" x14ac:dyDescent="0.35">
      <c r="A2" s="44"/>
      <c r="B2" s="45"/>
      <c r="C2" s="255" t="s">
        <v>44</v>
      </c>
      <c r="D2" s="255"/>
      <c r="E2" s="256"/>
    </row>
    <row r="3" spans="1:5" ht="13.5" customHeight="1" thickBot="1" x14ac:dyDescent="0.3"/>
    <row r="4" spans="1:5" s="10" customFormat="1" ht="15.6" x14ac:dyDescent="0.3">
      <c r="A4" s="253" t="s">
        <v>77</v>
      </c>
      <c r="B4" s="254"/>
      <c r="C4" s="46"/>
      <c r="D4" s="46"/>
      <c r="E4" s="47"/>
    </row>
    <row r="5" spans="1:5" s="4" customFormat="1" x14ac:dyDescent="0.25">
      <c r="A5" s="48"/>
      <c r="B5" s="4" t="s">
        <v>63</v>
      </c>
      <c r="E5" s="49">
        <f>EGR!C68</f>
        <v>17817664.519113906</v>
      </c>
    </row>
    <row r="6" spans="1:5" s="4" customFormat="1" x14ac:dyDescent="0.25">
      <c r="A6" s="48"/>
      <c r="B6" s="4" t="s">
        <v>81</v>
      </c>
      <c r="E6" s="49">
        <v>0</v>
      </c>
    </row>
    <row r="7" spans="1:5" s="10" customFormat="1" ht="16.2" thickBot="1" x14ac:dyDescent="0.35">
      <c r="A7" s="50"/>
      <c r="B7" s="51" t="s">
        <v>0</v>
      </c>
      <c r="C7" s="51"/>
      <c r="D7" s="51"/>
      <c r="E7" s="52">
        <f>SUM(E5)</f>
        <v>17817664.519113906</v>
      </c>
    </row>
    <row r="8" spans="1:5" ht="13.8" thickBot="1" x14ac:dyDescent="0.3">
      <c r="B8" s="53"/>
      <c r="C8" s="53"/>
      <c r="D8" s="53"/>
      <c r="E8" s="54"/>
    </row>
    <row r="9" spans="1:5" s="10" customFormat="1" ht="15.6" x14ac:dyDescent="0.3">
      <c r="A9" s="253" t="s">
        <v>65</v>
      </c>
      <c r="B9" s="254"/>
      <c r="C9" s="55" t="s">
        <v>79</v>
      </c>
      <c r="D9" s="55" t="s">
        <v>80</v>
      </c>
      <c r="E9" s="47"/>
    </row>
    <row r="10" spans="1:5" s="4" customFormat="1" x14ac:dyDescent="0.25">
      <c r="A10" s="48"/>
      <c r="B10" s="4" t="s">
        <v>321</v>
      </c>
      <c r="C10" s="5">
        <v>510</v>
      </c>
      <c r="D10" s="5">
        <v>1</v>
      </c>
      <c r="E10" s="49">
        <f>+C10*D10</f>
        <v>510</v>
      </c>
    </row>
    <row r="11" spans="1:5" s="4" customFormat="1" x14ac:dyDescent="0.25">
      <c r="A11" s="48"/>
      <c r="B11" s="4" t="s">
        <v>322</v>
      </c>
      <c r="C11" s="5">
        <v>612</v>
      </c>
      <c r="D11" s="5">
        <v>1</v>
      </c>
      <c r="E11" s="49">
        <f t="shared" ref="E11:E33" si="0">+C11*D11</f>
        <v>612</v>
      </c>
    </row>
    <row r="12" spans="1:5" s="4" customFormat="1" x14ac:dyDescent="0.25">
      <c r="A12" s="48"/>
      <c r="B12" s="4" t="s">
        <v>323</v>
      </c>
      <c r="C12" s="5">
        <v>255</v>
      </c>
      <c r="D12" s="5">
        <v>1</v>
      </c>
      <c r="E12" s="49">
        <f t="shared" si="0"/>
        <v>255</v>
      </c>
    </row>
    <row r="13" spans="1:5" s="4" customFormat="1" x14ac:dyDescent="0.25">
      <c r="A13" s="48"/>
      <c r="B13" s="4" t="s">
        <v>324</v>
      </c>
      <c r="C13" s="5">
        <v>612</v>
      </c>
      <c r="D13" s="5">
        <v>2</v>
      </c>
      <c r="E13" s="49">
        <f t="shared" si="0"/>
        <v>1224</v>
      </c>
    </row>
    <row r="14" spans="1:5" s="4" customFormat="1" ht="26.4" x14ac:dyDescent="0.25">
      <c r="A14" s="48"/>
      <c r="B14" s="56" t="s">
        <v>325</v>
      </c>
      <c r="C14" s="5">
        <v>612</v>
      </c>
      <c r="D14" s="5">
        <v>1</v>
      </c>
      <c r="E14" s="49">
        <f t="shared" si="0"/>
        <v>612</v>
      </c>
    </row>
    <row r="15" spans="1:5" s="4" customFormat="1" ht="26.4" x14ac:dyDescent="0.25">
      <c r="A15" s="48"/>
      <c r="B15" s="56" t="s">
        <v>326</v>
      </c>
      <c r="C15" s="5">
        <v>10</v>
      </c>
      <c r="D15" s="5">
        <v>1</v>
      </c>
      <c r="E15" s="49">
        <f t="shared" si="0"/>
        <v>10</v>
      </c>
    </row>
    <row r="16" spans="1:5" s="4" customFormat="1" ht="26.4" x14ac:dyDescent="0.25">
      <c r="A16" s="48"/>
      <c r="B16" s="56" t="s">
        <v>327</v>
      </c>
      <c r="C16" s="5">
        <v>20</v>
      </c>
      <c r="D16" s="5">
        <v>1</v>
      </c>
      <c r="E16" s="49">
        <f t="shared" si="0"/>
        <v>20</v>
      </c>
    </row>
    <row r="17" spans="1:5" s="4" customFormat="1" x14ac:dyDescent="0.25">
      <c r="A17" s="48"/>
      <c r="B17" s="4" t="s">
        <v>279</v>
      </c>
      <c r="C17" s="5">
        <v>1173</v>
      </c>
      <c r="D17" s="5">
        <v>22</v>
      </c>
      <c r="E17" s="49">
        <f t="shared" si="0"/>
        <v>25806</v>
      </c>
    </row>
    <row r="18" spans="1:5" s="4" customFormat="1" x14ac:dyDescent="0.25">
      <c r="A18" s="48"/>
      <c r="B18" s="4" t="s">
        <v>328</v>
      </c>
      <c r="C18" s="5">
        <v>3672</v>
      </c>
      <c r="D18" s="5">
        <v>19</v>
      </c>
      <c r="E18" s="49">
        <f t="shared" si="0"/>
        <v>69768</v>
      </c>
    </row>
    <row r="19" spans="1:5" s="4" customFormat="1" x14ac:dyDescent="0.25">
      <c r="A19" s="48"/>
      <c r="B19" s="4" t="s">
        <v>460</v>
      </c>
      <c r="C19" s="5">
        <v>1275</v>
      </c>
      <c r="D19" s="5">
        <v>27</v>
      </c>
      <c r="E19" s="49">
        <f t="shared" si="0"/>
        <v>34425</v>
      </c>
    </row>
    <row r="20" spans="1:5" s="4" customFormat="1" x14ac:dyDescent="0.25">
      <c r="A20" s="48"/>
      <c r="B20" s="4" t="s">
        <v>329</v>
      </c>
      <c r="C20" s="5">
        <v>1275</v>
      </c>
      <c r="D20" s="5">
        <v>27</v>
      </c>
      <c r="E20" s="49">
        <f t="shared" si="0"/>
        <v>34425</v>
      </c>
    </row>
    <row r="21" spans="1:5" s="4" customFormat="1" x14ac:dyDescent="0.25">
      <c r="A21" s="48"/>
      <c r="B21" s="4" t="s">
        <v>344</v>
      </c>
      <c r="C21" s="5">
        <v>3672</v>
      </c>
      <c r="D21" s="5">
        <v>4</v>
      </c>
      <c r="E21" s="49">
        <f t="shared" si="0"/>
        <v>14688</v>
      </c>
    </row>
    <row r="22" spans="1:5" s="4" customFormat="1" x14ac:dyDescent="0.25">
      <c r="A22" s="48"/>
      <c r="B22" s="4" t="s">
        <v>330</v>
      </c>
      <c r="C22" s="5">
        <v>969</v>
      </c>
      <c r="D22" s="5">
        <v>3</v>
      </c>
      <c r="E22" s="49">
        <f t="shared" si="0"/>
        <v>2907</v>
      </c>
    </row>
    <row r="23" spans="1:5" s="4" customFormat="1" ht="40.200000000000003" x14ac:dyDescent="0.25">
      <c r="A23" s="48"/>
      <c r="B23" s="56" t="s">
        <v>454</v>
      </c>
      <c r="C23" s="5">
        <v>5000</v>
      </c>
      <c r="D23" s="5">
        <v>18</v>
      </c>
      <c r="E23" s="49">
        <f t="shared" si="0"/>
        <v>90000</v>
      </c>
    </row>
    <row r="24" spans="1:5" s="4" customFormat="1" x14ac:dyDescent="0.25">
      <c r="A24" s="48"/>
      <c r="B24" s="56" t="s">
        <v>461</v>
      </c>
      <c r="C24" s="5">
        <v>2</v>
      </c>
      <c r="D24" s="5">
        <v>7</v>
      </c>
      <c r="E24" s="49">
        <f t="shared" si="0"/>
        <v>14</v>
      </c>
    </row>
    <row r="25" spans="1:5" s="4" customFormat="1" x14ac:dyDescent="0.25">
      <c r="A25" s="48"/>
      <c r="B25" s="56" t="s">
        <v>462</v>
      </c>
      <c r="C25" s="5">
        <v>2</v>
      </c>
      <c r="D25" s="5">
        <v>7</v>
      </c>
      <c r="E25" s="49">
        <f t="shared" si="0"/>
        <v>14</v>
      </c>
    </row>
    <row r="26" spans="1:5" s="4" customFormat="1" ht="26.4" x14ac:dyDescent="0.25">
      <c r="A26" s="48"/>
      <c r="B26" s="56" t="s">
        <v>463</v>
      </c>
      <c r="C26" s="5">
        <v>1275</v>
      </c>
      <c r="D26" s="5">
        <v>12</v>
      </c>
      <c r="E26" s="49">
        <f t="shared" si="0"/>
        <v>15300</v>
      </c>
    </row>
    <row r="27" spans="1:5" s="4" customFormat="1" x14ac:dyDescent="0.25">
      <c r="A27" s="48"/>
      <c r="B27" s="4" t="s">
        <v>280</v>
      </c>
      <c r="C27" s="5">
        <v>51</v>
      </c>
      <c r="D27" s="5">
        <v>4</v>
      </c>
      <c r="E27" s="49">
        <f t="shared" si="0"/>
        <v>204</v>
      </c>
    </row>
    <row r="28" spans="1:5" s="4" customFormat="1" x14ac:dyDescent="0.25">
      <c r="A28" s="48"/>
      <c r="B28" s="4" t="s">
        <v>281</v>
      </c>
      <c r="C28" s="5">
        <v>20</v>
      </c>
      <c r="D28" s="5">
        <v>4</v>
      </c>
      <c r="E28" s="49">
        <f t="shared" si="0"/>
        <v>80</v>
      </c>
    </row>
    <row r="29" spans="1:5" s="4" customFormat="1" x14ac:dyDescent="0.25">
      <c r="A29" s="48"/>
      <c r="B29" s="4" t="s">
        <v>331</v>
      </c>
      <c r="C29" s="5">
        <v>20</v>
      </c>
      <c r="D29" s="5">
        <v>18</v>
      </c>
      <c r="E29" s="49">
        <f t="shared" si="0"/>
        <v>360</v>
      </c>
    </row>
    <row r="30" spans="1:5" s="4" customFormat="1" x14ac:dyDescent="0.25">
      <c r="A30" s="48"/>
      <c r="B30" s="4" t="s">
        <v>282</v>
      </c>
      <c r="C30" s="5">
        <v>155</v>
      </c>
      <c r="D30" s="5">
        <v>2</v>
      </c>
      <c r="E30" s="49">
        <f t="shared" ref="E30:E32" si="1">+C30*D30</f>
        <v>310</v>
      </c>
    </row>
    <row r="31" spans="1:5" s="4" customFormat="1" x14ac:dyDescent="0.25">
      <c r="A31" s="48"/>
      <c r="B31" s="4" t="s">
        <v>464</v>
      </c>
      <c r="C31" s="5">
        <v>51</v>
      </c>
      <c r="D31" s="5">
        <v>7</v>
      </c>
      <c r="E31" s="49">
        <f t="shared" si="1"/>
        <v>357</v>
      </c>
    </row>
    <row r="32" spans="1:5" s="4" customFormat="1" x14ac:dyDescent="0.25">
      <c r="A32" s="48"/>
      <c r="B32" s="4" t="s">
        <v>465</v>
      </c>
      <c r="C32" s="5">
        <v>51</v>
      </c>
      <c r="D32" s="5">
        <v>1</v>
      </c>
      <c r="E32" s="49">
        <f t="shared" si="1"/>
        <v>51</v>
      </c>
    </row>
    <row r="33" spans="1:5" s="4" customFormat="1" x14ac:dyDescent="0.25">
      <c r="A33" s="48"/>
      <c r="B33" s="4" t="s">
        <v>466</v>
      </c>
      <c r="C33" s="5">
        <v>413</v>
      </c>
      <c r="D33" s="5">
        <v>1</v>
      </c>
      <c r="E33" s="49">
        <f t="shared" si="0"/>
        <v>413</v>
      </c>
    </row>
    <row r="34" spans="1:5" s="10" customFormat="1" ht="16.2" thickBot="1" x14ac:dyDescent="0.35">
      <c r="A34" s="50"/>
      <c r="B34" s="51" t="s">
        <v>0</v>
      </c>
      <c r="C34" s="51"/>
      <c r="D34" s="51"/>
      <c r="E34" s="52">
        <f>SUM(E10:E33)</f>
        <v>292365</v>
      </c>
    </row>
    <row r="35" spans="1:5" ht="13.8" thickBot="1" x14ac:dyDescent="0.3">
      <c r="A35" s="57"/>
      <c r="B35" s="53"/>
      <c r="C35" s="53"/>
      <c r="D35" s="53"/>
      <c r="E35" s="54"/>
    </row>
    <row r="36" spans="1:5" s="10" customFormat="1" ht="15.6" hidden="1" x14ac:dyDescent="0.3">
      <c r="A36" s="253" t="s">
        <v>78</v>
      </c>
      <c r="B36" s="254"/>
      <c r="C36" s="46"/>
      <c r="D36" s="46"/>
      <c r="E36" s="47"/>
    </row>
    <row r="37" spans="1:5" hidden="1" x14ac:dyDescent="0.25">
      <c r="A37" s="58"/>
      <c r="C37" s="5">
        <v>0</v>
      </c>
      <c r="D37" s="4">
        <v>0</v>
      </c>
      <c r="E37" s="49"/>
    </row>
    <row r="38" spans="1:5" s="10" customFormat="1" ht="16.2" hidden="1" thickBot="1" x14ac:dyDescent="0.35">
      <c r="A38" s="50"/>
      <c r="B38" s="51" t="s">
        <v>0</v>
      </c>
      <c r="C38" s="51"/>
      <c r="D38" s="51"/>
      <c r="E38" s="52">
        <v>0</v>
      </c>
    </row>
    <row r="39" spans="1:5" ht="13.8" hidden="1" thickBot="1" x14ac:dyDescent="0.3">
      <c r="E39" s="4"/>
    </row>
    <row r="40" spans="1:5" s="10" customFormat="1" ht="15.6" x14ac:dyDescent="0.3">
      <c r="A40" s="253" t="s">
        <v>70</v>
      </c>
      <c r="B40" s="254"/>
      <c r="C40" s="46"/>
      <c r="D40" s="46"/>
      <c r="E40" s="47"/>
    </row>
    <row r="41" spans="1:5" s="4" customFormat="1" x14ac:dyDescent="0.25">
      <c r="A41" s="48"/>
      <c r="B41" s="4" t="s">
        <v>70</v>
      </c>
      <c r="C41" s="5">
        <v>50000</v>
      </c>
      <c r="D41" s="4">
        <v>1</v>
      </c>
      <c r="E41" s="49">
        <f>D41*C41</f>
        <v>50000</v>
      </c>
    </row>
    <row r="42" spans="1:5" s="10" customFormat="1" ht="16.2" thickBot="1" x14ac:dyDescent="0.35">
      <c r="A42" s="50"/>
      <c r="B42" s="51" t="s">
        <v>0</v>
      </c>
      <c r="C42" s="51"/>
      <c r="D42" s="51"/>
      <c r="E42" s="52">
        <f>SUM(E41:E41)</f>
        <v>50000</v>
      </c>
    </row>
    <row r="43" spans="1:5" ht="13.8" thickBot="1" x14ac:dyDescent="0.3">
      <c r="A43" s="59"/>
      <c r="B43" s="60"/>
      <c r="C43" s="60"/>
      <c r="D43" s="60"/>
      <c r="E43" s="61"/>
    </row>
    <row r="44" spans="1:5" s="10" customFormat="1" ht="16.2" thickBot="1" x14ac:dyDescent="0.35">
      <c r="A44" s="62"/>
      <c r="B44" s="63" t="s">
        <v>14</v>
      </c>
      <c r="C44" s="63"/>
      <c r="D44" s="63"/>
      <c r="E44" s="64">
        <f>E7+E34+E42+E38</f>
        <v>18160029.519113906</v>
      </c>
    </row>
  </sheetData>
  <mergeCells count="6">
    <mergeCell ref="A1:E1"/>
    <mergeCell ref="A40:B40"/>
    <mergeCell ref="C2:E2"/>
    <mergeCell ref="A4:B4"/>
    <mergeCell ref="A9:B9"/>
    <mergeCell ref="A36:B36"/>
  </mergeCells>
  <phoneticPr fontId="0" type="noConversion"/>
  <printOptions horizontalCentered="1"/>
  <pageMargins left="0.78740157480314965" right="0.78740157480314965" top="2.1653543307086616" bottom="2.1653543307086616" header="0.78740157480314965" footer="0"/>
  <pageSetup scale="7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2"/>
  <sheetViews>
    <sheetView topLeftCell="A43" zoomScaleNormal="100" workbookViewId="0">
      <selection activeCell="C57" sqref="C57"/>
    </sheetView>
  </sheetViews>
  <sheetFormatPr baseColWidth="10" defaultRowHeight="13.2" x14ac:dyDescent="0.25"/>
  <cols>
    <col min="1" max="1" width="8.6640625" style="4" customWidth="1"/>
    <col min="2" max="2" width="61.5546875" style="4" bestFit="1" customWidth="1"/>
    <col min="3" max="3" width="14.109375" style="5" bestFit="1" customWidth="1"/>
    <col min="4" max="5" width="13" bestFit="1" customWidth="1"/>
  </cols>
  <sheetData>
    <row r="1" spans="1:4" s="11" customFormat="1" ht="21.6" thickBot="1" x14ac:dyDescent="0.4">
      <c r="A1" s="252" t="s">
        <v>378</v>
      </c>
      <c r="B1" s="252"/>
      <c r="C1" s="252"/>
    </row>
    <row r="2" spans="1:4" s="4" customFormat="1" ht="13.8" thickBot="1" x14ac:dyDescent="0.3">
      <c r="A2" s="65" t="s">
        <v>185</v>
      </c>
      <c r="B2" s="259" t="s">
        <v>44</v>
      </c>
      <c r="C2" s="260"/>
    </row>
    <row r="3" spans="1:4" ht="13.8" thickBot="1" x14ac:dyDescent="0.3"/>
    <row r="4" spans="1:4" s="4" customFormat="1" x14ac:dyDescent="0.25">
      <c r="A4" s="257" t="s">
        <v>3</v>
      </c>
      <c r="B4" s="258"/>
      <c r="C4" s="66"/>
    </row>
    <row r="5" spans="1:4" s="12" customFormat="1" ht="11.4" x14ac:dyDescent="0.2">
      <c r="A5" s="67">
        <v>1000</v>
      </c>
      <c r="B5" s="12" t="s">
        <v>4</v>
      </c>
      <c r="C5" s="68">
        <f>'1000'!D20</f>
        <v>9265456.5151139069</v>
      </c>
    </row>
    <row r="6" spans="1:4" s="4" customFormat="1" ht="13.8" thickBot="1" x14ac:dyDescent="0.3">
      <c r="A6" s="69"/>
      <c r="B6" s="70" t="s">
        <v>0</v>
      </c>
      <c r="C6" s="71">
        <f>SUM(C5)</f>
        <v>9265456.5151139069</v>
      </c>
    </row>
    <row r="7" spans="1:4" ht="13.8" thickBot="1" x14ac:dyDescent="0.3">
      <c r="B7" s="53"/>
      <c r="C7" s="54"/>
      <c r="D7" s="1"/>
    </row>
    <row r="8" spans="1:4" s="4" customFormat="1" x14ac:dyDescent="0.25">
      <c r="A8" s="257" t="s">
        <v>5</v>
      </c>
      <c r="B8" s="258"/>
      <c r="C8" s="66"/>
    </row>
    <row r="9" spans="1:4" s="12" customFormat="1" ht="11.4" x14ac:dyDescent="0.2">
      <c r="A9" s="67">
        <v>21101</v>
      </c>
      <c r="B9" s="12" t="s">
        <v>212</v>
      </c>
      <c r="C9" s="68">
        <f>'2000'!G30</f>
        <v>24868</v>
      </c>
    </row>
    <row r="10" spans="1:4" s="12" customFormat="1" ht="11.4" x14ac:dyDescent="0.2">
      <c r="A10" s="67">
        <v>21201</v>
      </c>
      <c r="B10" s="12" t="s">
        <v>214</v>
      </c>
      <c r="C10" s="68">
        <f>'2000'!G37</f>
        <v>11736</v>
      </c>
    </row>
    <row r="11" spans="1:4" s="12" customFormat="1" ht="11.4" x14ac:dyDescent="0.2">
      <c r="A11" s="67">
        <v>21601</v>
      </c>
      <c r="B11" s="12" t="s">
        <v>6</v>
      </c>
      <c r="C11" s="68">
        <f>'2000'!G56</f>
        <v>5265</v>
      </c>
    </row>
    <row r="12" spans="1:4" s="12" customFormat="1" ht="11.4" x14ac:dyDescent="0.2">
      <c r="A12" s="67">
        <v>22101</v>
      </c>
      <c r="B12" s="12" t="s">
        <v>216</v>
      </c>
      <c r="C12" s="68">
        <f>'2000'!G79</f>
        <v>10296</v>
      </c>
    </row>
    <row r="13" spans="1:4" s="12" customFormat="1" ht="11.4" x14ac:dyDescent="0.2">
      <c r="A13" s="67">
        <v>22106</v>
      </c>
      <c r="B13" s="12" t="s">
        <v>218</v>
      </c>
      <c r="C13" s="68">
        <f>'2000'!G83</f>
        <v>2200</v>
      </c>
    </row>
    <row r="14" spans="1:4" s="12" customFormat="1" ht="11.4" x14ac:dyDescent="0.2">
      <c r="A14" s="67">
        <v>26101</v>
      </c>
      <c r="B14" s="12" t="s">
        <v>7</v>
      </c>
      <c r="C14" s="68">
        <f>'2000'!G87</f>
        <v>80000</v>
      </c>
    </row>
    <row r="15" spans="1:4" s="12" customFormat="1" ht="11.4" x14ac:dyDescent="0.2">
      <c r="A15" s="67">
        <v>26102</v>
      </c>
      <c r="B15" s="12" t="s">
        <v>8</v>
      </c>
      <c r="C15" s="68">
        <f>'2000'!G93</f>
        <v>3986</v>
      </c>
    </row>
    <row r="16" spans="1:4" s="12" customFormat="1" ht="11.4" x14ac:dyDescent="0.2">
      <c r="A16" s="67">
        <v>27101</v>
      </c>
      <c r="B16" s="12" t="s">
        <v>340</v>
      </c>
      <c r="C16" s="68">
        <f>'2000'!G101</f>
        <v>0</v>
      </c>
    </row>
    <row r="17" spans="1:4" s="12" customFormat="1" ht="11.4" x14ac:dyDescent="0.2">
      <c r="A17" s="67">
        <v>29101</v>
      </c>
      <c r="B17" s="12" t="s">
        <v>141</v>
      </c>
      <c r="C17" s="68">
        <f>'2000'!G97</f>
        <v>227</v>
      </c>
    </row>
    <row r="18" spans="1:4" s="4" customFormat="1" ht="13.8" thickBot="1" x14ac:dyDescent="0.3">
      <c r="A18" s="69"/>
      <c r="B18" s="70" t="s">
        <v>0</v>
      </c>
      <c r="C18" s="71">
        <f>SUM(C9:C17)</f>
        <v>138578</v>
      </c>
    </row>
    <row r="19" spans="1:4" ht="13.8" thickBot="1" x14ac:dyDescent="0.3">
      <c r="B19" s="53"/>
      <c r="C19" s="54"/>
      <c r="D19" s="1"/>
    </row>
    <row r="20" spans="1:4" s="4" customFormat="1" x14ac:dyDescent="0.25">
      <c r="A20" s="257" t="s">
        <v>9</v>
      </c>
      <c r="B20" s="258"/>
      <c r="C20" s="66"/>
    </row>
    <row r="21" spans="1:4" s="4" customFormat="1" x14ac:dyDescent="0.25">
      <c r="A21" s="67">
        <v>31101</v>
      </c>
      <c r="B21" s="12" t="s">
        <v>221</v>
      </c>
      <c r="C21" s="68">
        <f>'3000'!G6</f>
        <v>96000</v>
      </c>
    </row>
    <row r="22" spans="1:4" s="4" customFormat="1" x14ac:dyDescent="0.25">
      <c r="A22" s="67">
        <v>31301</v>
      </c>
      <c r="B22" s="12" t="s">
        <v>289</v>
      </c>
      <c r="C22" s="68">
        <f>'3000'!G10</f>
        <v>0</v>
      </c>
    </row>
    <row r="23" spans="1:4" s="12" customFormat="1" ht="11.4" x14ac:dyDescent="0.2">
      <c r="A23" s="67">
        <v>31401</v>
      </c>
      <c r="B23" s="12" t="s">
        <v>223</v>
      </c>
      <c r="C23" s="68">
        <f>'3000'!G14</f>
        <v>86400</v>
      </c>
    </row>
    <row r="24" spans="1:4" s="12" customFormat="1" ht="11.4" x14ac:dyDescent="0.2">
      <c r="A24" s="67">
        <v>31501</v>
      </c>
      <c r="B24" s="12" t="s">
        <v>182</v>
      </c>
      <c r="C24" s="68">
        <f>'3000'!G18</f>
        <v>0</v>
      </c>
    </row>
    <row r="25" spans="1:4" s="12" customFormat="1" ht="11.4" x14ac:dyDescent="0.2">
      <c r="A25" s="67">
        <v>32201</v>
      </c>
      <c r="B25" s="12" t="s">
        <v>226</v>
      </c>
      <c r="C25" s="68">
        <f>'3000'!G23</f>
        <v>216000</v>
      </c>
    </row>
    <row r="26" spans="1:4" s="12" customFormat="1" ht="11.4" x14ac:dyDescent="0.2">
      <c r="A26" s="67">
        <v>32301</v>
      </c>
      <c r="B26" s="12" t="s">
        <v>37</v>
      </c>
      <c r="C26" s="68">
        <f>'3000'!G27</f>
        <v>58800</v>
      </c>
    </row>
    <row r="27" spans="1:4" s="12" customFormat="1" ht="11.4" x14ac:dyDescent="0.2">
      <c r="A27" s="67">
        <v>33101</v>
      </c>
      <c r="B27" s="12" t="s">
        <v>228</v>
      </c>
      <c r="C27" s="68">
        <f>'3000'!G34</f>
        <v>76401</v>
      </c>
    </row>
    <row r="28" spans="1:4" s="12" customFormat="1" ht="11.4" x14ac:dyDescent="0.2">
      <c r="A28" s="67">
        <v>33201</v>
      </c>
      <c r="B28" s="12" t="s">
        <v>232</v>
      </c>
      <c r="C28" s="68">
        <f>'3000'!G39</f>
        <v>42000</v>
      </c>
    </row>
    <row r="29" spans="1:4" s="12" customFormat="1" ht="11.4" x14ac:dyDescent="0.2">
      <c r="A29" s="67">
        <v>33603</v>
      </c>
      <c r="B29" s="12" t="s">
        <v>71</v>
      </c>
      <c r="C29" s="68">
        <f>'3000'!G48</f>
        <v>3900</v>
      </c>
    </row>
    <row r="30" spans="1:4" s="12" customFormat="1" ht="11.4" x14ac:dyDescent="0.2">
      <c r="A30" s="67">
        <v>33605</v>
      </c>
      <c r="B30" s="12" t="s">
        <v>233</v>
      </c>
      <c r="C30" s="68">
        <f>'3000'!G52</f>
        <v>60000</v>
      </c>
    </row>
    <row r="31" spans="1:4" s="12" customFormat="1" ht="11.4" x14ac:dyDescent="0.2">
      <c r="A31" s="67">
        <v>33901</v>
      </c>
      <c r="B31" s="12" t="s">
        <v>191</v>
      </c>
      <c r="C31" s="68">
        <f>'3000'!G59</f>
        <v>879410.25</v>
      </c>
    </row>
    <row r="32" spans="1:4" s="12" customFormat="1" ht="11.4" x14ac:dyDescent="0.2">
      <c r="A32" s="67">
        <v>34101</v>
      </c>
      <c r="B32" s="12" t="s">
        <v>257</v>
      </c>
      <c r="C32" s="68">
        <f>'3000'!G65</f>
        <v>3600</v>
      </c>
    </row>
    <row r="33" spans="1:3" s="12" customFormat="1" ht="11.4" x14ac:dyDescent="0.2">
      <c r="A33" s="67">
        <v>34401</v>
      </c>
      <c r="B33" s="12" t="s">
        <v>193</v>
      </c>
      <c r="C33" s="68">
        <f>'3000'!G70</f>
        <v>14000</v>
      </c>
    </row>
    <row r="34" spans="1:3" s="12" customFormat="1" ht="11.4" x14ac:dyDescent="0.2">
      <c r="A34" s="67">
        <v>34701</v>
      </c>
      <c r="B34" s="12" t="s">
        <v>195</v>
      </c>
      <c r="C34" s="68">
        <f>'3000'!G74</f>
        <v>2400</v>
      </c>
    </row>
    <row r="35" spans="1:3" s="12" customFormat="1" ht="11.4" x14ac:dyDescent="0.2">
      <c r="A35" s="67">
        <v>35101</v>
      </c>
      <c r="B35" s="12" t="s">
        <v>236</v>
      </c>
      <c r="C35" s="68">
        <f>'3000'!G81</f>
        <v>60000</v>
      </c>
    </row>
    <row r="36" spans="1:3" s="12" customFormat="1" ht="11.4" x14ac:dyDescent="0.2">
      <c r="A36" s="67">
        <v>35201</v>
      </c>
      <c r="B36" s="12" t="s">
        <v>237</v>
      </c>
      <c r="C36" s="68">
        <f>'3000'!G85</f>
        <v>0</v>
      </c>
    </row>
    <row r="37" spans="1:3" s="12" customFormat="1" ht="11.4" x14ac:dyDescent="0.2">
      <c r="A37" s="67">
        <v>35501</v>
      </c>
      <c r="B37" s="12" t="s">
        <v>239</v>
      </c>
      <c r="C37" s="68">
        <f>'3000'!G89</f>
        <v>13348.33</v>
      </c>
    </row>
    <row r="38" spans="1:3" s="12" customFormat="1" ht="11.4" x14ac:dyDescent="0.2">
      <c r="A38" s="67">
        <v>35701</v>
      </c>
      <c r="B38" s="12" t="s">
        <v>241</v>
      </c>
      <c r="C38" s="68">
        <f>'3000'!G95</f>
        <v>4300</v>
      </c>
    </row>
    <row r="39" spans="1:3" s="12" customFormat="1" ht="11.4" x14ac:dyDescent="0.2">
      <c r="A39" s="67">
        <v>35901</v>
      </c>
      <c r="B39" s="12" t="s">
        <v>243</v>
      </c>
      <c r="C39" s="68">
        <f>'3000'!G99</f>
        <v>9100</v>
      </c>
    </row>
    <row r="40" spans="1:3" s="12" customFormat="1" ht="11.4" x14ac:dyDescent="0.2">
      <c r="A40" s="67">
        <v>36101</v>
      </c>
      <c r="B40" s="12" t="s">
        <v>485</v>
      </c>
      <c r="C40" s="68">
        <f>'3000'!G103</f>
        <v>2500000</v>
      </c>
    </row>
    <row r="41" spans="1:3" s="12" customFormat="1" ht="11.4" x14ac:dyDescent="0.2">
      <c r="A41" s="67">
        <v>37101</v>
      </c>
      <c r="B41" s="12" t="s">
        <v>197</v>
      </c>
      <c r="C41" s="68">
        <f>'3000'!G107</f>
        <v>14000</v>
      </c>
    </row>
    <row r="42" spans="1:3" s="12" customFormat="1" ht="11.4" x14ac:dyDescent="0.2">
      <c r="A42" s="67">
        <v>37201</v>
      </c>
      <c r="B42" s="12" t="s">
        <v>199</v>
      </c>
      <c r="C42" s="68">
        <f>'3000'!G113</f>
        <v>0</v>
      </c>
    </row>
    <row r="43" spans="1:3" s="12" customFormat="1" ht="11.4" x14ac:dyDescent="0.2">
      <c r="A43" s="67">
        <v>37501</v>
      </c>
      <c r="B43" s="12" t="s">
        <v>201</v>
      </c>
      <c r="C43" s="68">
        <f>'3000'!G117</f>
        <v>4000</v>
      </c>
    </row>
    <row r="44" spans="1:3" s="12" customFormat="1" ht="11.4" x14ac:dyDescent="0.2">
      <c r="A44" s="67">
        <v>37502</v>
      </c>
      <c r="B44" s="12" t="s">
        <v>203</v>
      </c>
      <c r="C44" s="68">
        <f>'3000'!G121</f>
        <v>0</v>
      </c>
    </row>
    <row r="45" spans="1:3" s="12" customFormat="1" ht="11.4" x14ac:dyDescent="0.2">
      <c r="A45" s="67">
        <v>37601</v>
      </c>
      <c r="B45" s="12" t="s">
        <v>204</v>
      </c>
      <c r="C45" s="68">
        <f>'3000'!G125</f>
        <v>0</v>
      </c>
    </row>
    <row r="46" spans="1:3" s="12" customFormat="1" ht="11.4" x14ac:dyDescent="0.2">
      <c r="A46" s="67">
        <v>37901</v>
      </c>
      <c r="B46" s="12" t="s">
        <v>143</v>
      </c>
      <c r="C46" s="68">
        <f>'3000'!G130</f>
        <v>102000</v>
      </c>
    </row>
    <row r="47" spans="1:3" s="12" customFormat="1" ht="11.4" x14ac:dyDescent="0.2">
      <c r="A47" s="67">
        <v>38101</v>
      </c>
      <c r="B47" s="12" t="s">
        <v>245</v>
      </c>
      <c r="C47" s="68">
        <f>'3000'!G136</f>
        <v>8000</v>
      </c>
    </row>
    <row r="48" spans="1:3" s="12" customFormat="1" ht="11.4" x14ac:dyDescent="0.2">
      <c r="A48" s="67">
        <v>38301</v>
      </c>
      <c r="B48" s="12" t="s">
        <v>211</v>
      </c>
      <c r="C48" s="68">
        <f>'3000'!G141</f>
        <v>0</v>
      </c>
    </row>
    <row r="49" spans="1:5" s="12" customFormat="1" ht="11.4" x14ac:dyDescent="0.2">
      <c r="A49" s="67">
        <v>38401</v>
      </c>
      <c r="B49" s="12" t="s">
        <v>208</v>
      </c>
      <c r="C49" s="68">
        <f>'3000'!G145</f>
        <v>0</v>
      </c>
    </row>
    <row r="50" spans="1:5" s="12" customFormat="1" ht="11.4" x14ac:dyDescent="0.2">
      <c r="A50" s="67">
        <v>39201</v>
      </c>
      <c r="B50" s="12" t="s">
        <v>10</v>
      </c>
      <c r="C50" s="68">
        <f>'3000'!G149</f>
        <v>2500</v>
      </c>
    </row>
    <row r="51" spans="1:5" s="12" customFormat="1" ht="11.4" x14ac:dyDescent="0.2">
      <c r="A51" s="67">
        <v>39501</v>
      </c>
      <c r="B51" s="12" t="s">
        <v>259</v>
      </c>
      <c r="C51" s="68">
        <f>'3000'!G156</f>
        <v>154190.00399999999</v>
      </c>
    </row>
    <row r="52" spans="1:5" s="4" customFormat="1" ht="13.8" thickBot="1" x14ac:dyDescent="0.3">
      <c r="A52" s="69"/>
      <c r="B52" s="70" t="s">
        <v>0</v>
      </c>
      <c r="C52" s="71">
        <f>SUM(C21:C51)</f>
        <v>4410349.5839999998</v>
      </c>
      <c r="D52" s="5"/>
    </row>
    <row r="53" spans="1:5" ht="13.8" thickBot="1" x14ac:dyDescent="0.3">
      <c r="D53" s="1"/>
    </row>
    <row r="54" spans="1:5" s="4" customFormat="1" x14ac:dyDescent="0.25">
      <c r="A54" s="257" t="s">
        <v>13</v>
      </c>
      <c r="B54" s="258"/>
      <c r="C54" s="66"/>
      <c r="E54" s="5"/>
    </row>
    <row r="55" spans="1:5" s="12" customFormat="1" ht="11.4" x14ac:dyDescent="0.2">
      <c r="A55" s="67">
        <v>51101</v>
      </c>
      <c r="B55" s="12" t="s">
        <v>247</v>
      </c>
      <c r="C55" s="68">
        <f>'5000'!G8</f>
        <v>0</v>
      </c>
      <c r="E55" s="13"/>
    </row>
    <row r="56" spans="1:5" s="12" customFormat="1" ht="11.4" x14ac:dyDescent="0.2">
      <c r="A56" s="67">
        <v>51501</v>
      </c>
      <c r="B56" s="12" t="s">
        <v>249</v>
      </c>
      <c r="C56" s="68">
        <v>720</v>
      </c>
      <c r="E56" s="13"/>
    </row>
    <row r="57" spans="1:5" s="12" customFormat="1" ht="11.4" x14ac:dyDescent="0.2">
      <c r="A57" s="67">
        <v>52901</v>
      </c>
      <c r="B57" s="12" t="s">
        <v>251</v>
      </c>
      <c r="C57" s="68">
        <f>'5000'!G33</f>
        <v>0</v>
      </c>
    </row>
    <row r="58" spans="1:5" s="12" customFormat="1" ht="11.4" x14ac:dyDescent="0.2">
      <c r="A58" s="67">
        <v>54101</v>
      </c>
      <c r="B58" s="12" t="s">
        <v>253</v>
      </c>
      <c r="C58" s="68">
        <f>'5000'!G38</f>
        <v>1360.42</v>
      </c>
    </row>
    <row r="59" spans="1:5" s="12" customFormat="1" ht="11.4" x14ac:dyDescent="0.2">
      <c r="A59" s="67">
        <v>56201</v>
      </c>
      <c r="B59" s="12" t="s">
        <v>75</v>
      </c>
      <c r="C59" s="68">
        <f>'5000'!G45</f>
        <v>0</v>
      </c>
    </row>
    <row r="60" spans="1:5" s="12" customFormat="1" ht="11.4" x14ac:dyDescent="0.2">
      <c r="A60" s="67">
        <v>56501</v>
      </c>
      <c r="B60" s="12" t="s">
        <v>255</v>
      </c>
      <c r="C60" s="68">
        <f>'5000'!G51</f>
        <v>1200</v>
      </c>
    </row>
    <row r="61" spans="1:5" s="12" customFormat="1" ht="11.4" x14ac:dyDescent="0.2">
      <c r="A61" s="67">
        <v>59101</v>
      </c>
      <c r="B61" s="12" t="s">
        <v>67</v>
      </c>
      <c r="C61" s="68">
        <f>'5000'!G57</f>
        <v>0</v>
      </c>
    </row>
    <row r="62" spans="1:5" s="4" customFormat="1" ht="13.8" thickBot="1" x14ac:dyDescent="0.3">
      <c r="A62" s="69"/>
      <c r="B62" s="70" t="s">
        <v>0</v>
      </c>
      <c r="C62" s="71">
        <f>SUM(C55:C61)</f>
        <v>3280.42</v>
      </c>
    </row>
    <row r="63" spans="1:5" ht="13.8" thickBot="1" x14ac:dyDescent="0.3">
      <c r="D63" s="1"/>
    </row>
    <row r="64" spans="1:5" s="4" customFormat="1" x14ac:dyDescent="0.25">
      <c r="A64" s="72" t="s">
        <v>15</v>
      </c>
      <c r="B64" s="73"/>
      <c r="C64" s="66"/>
    </row>
    <row r="65" spans="1:4" s="12" customFormat="1" ht="11.4" x14ac:dyDescent="0.2">
      <c r="A65" s="67">
        <v>61406</v>
      </c>
      <c r="B65" s="12" t="s">
        <v>16</v>
      </c>
      <c r="C65" s="68">
        <f>'6000'!E39</f>
        <v>4000000</v>
      </c>
    </row>
    <row r="66" spans="1:4" s="4" customFormat="1" ht="13.8" thickBot="1" x14ac:dyDescent="0.3">
      <c r="A66" s="69"/>
      <c r="B66" s="70" t="s">
        <v>0</v>
      </c>
      <c r="C66" s="71">
        <f>SUM(C65)</f>
        <v>4000000</v>
      </c>
      <c r="D66" s="5"/>
    </row>
    <row r="67" spans="1:4" ht="13.8" thickBot="1" x14ac:dyDescent="0.3">
      <c r="D67" s="1"/>
    </row>
    <row r="68" spans="1:4" s="4" customFormat="1" ht="13.8" thickBot="1" x14ac:dyDescent="0.3">
      <c r="A68" s="74"/>
      <c r="B68" s="75" t="s">
        <v>14</v>
      </c>
      <c r="C68" s="76">
        <f>C6+C18+C52+C62+C66</f>
        <v>17817664.519113906</v>
      </c>
      <c r="D68" s="5"/>
    </row>
    <row r="69" spans="1:4" x14ac:dyDescent="0.25">
      <c r="D69" s="5"/>
    </row>
    <row r="70" spans="1:4" x14ac:dyDescent="0.25">
      <c r="D70" s="4"/>
    </row>
    <row r="71" spans="1:4" x14ac:dyDescent="0.25">
      <c r="D71" s="4"/>
    </row>
    <row r="72" spans="1:4" x14ac:dyDescent="0.25">
      <c r="D72" s="5"/>
    </row>
  </sheetData>
  <mergeCells count="6">
    <mergeCell ref="A1:C1"/>
    <mergeCell ref="A54:B54"/>
    <mergeCell ref="B2:C2"/>
    <mergeCell ref="A4:B4"/>
    <mergeCell ref="A8:B8"/>
    <mergeCell ref="A20:B20"/>
  </mergeCells>
  <phoneticPr fontId="0" type="noConversion"/>
  <printOptions horizontalCentered="1" verticalCentered="1"/>
  <pageMargins left="0.74803149606299213" right="0.74803149606299213" top="0.59055118110236227" bottom="0.59055118110236227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378"/>
  <sheetViews>
    <sheetView zoomScaleNormal="100" workbookViewId="0">
      <selection activeCell="E17" sqref="E17"/>
    </sheetView>
  </sheetViews>
  <sheetFormatPr baseColWidth="10" defaultRowHeight="13.2" x14ac:dyDescent="0.25"/>
  <cols>
    <col min="1" max="1" width="11.5546875" style="4" bestFit="1"/>
    <col min="2" max="2" width="12.6640625" style="4" bestFit="1" customWidth="1"/>
    <col min="3" max="3" width="43" style="4" customWidth="1"/>
    <col min="4" max="4" width="16" style="142" bestFit="1" customWidth="1"/>
    <col min="5" max="10" width="13.33203125" style="4" bestFit="1" customWidth="1"/>
    <col min="11" max="12" width="12.6640625" style="4" customWidth="1"/>
    <col min="13" max="13" width="16.5546875" style="4" customWidth="1"/>
    <col min="14" max="14" width="12.88671875" style="4" customWidth="1"/>
    <col min="15" max="15" width="15.33203125" style="4" customWidth="1"/>
    <col min="16" max="16" width="15.33203125" style="4" bestFit="1" customWidth="1"/>
    <col min="17" max="17" width="16" style="4" bestFit="1" customWidth="1"/>
    <col min="18" max="18" width="11.6640625" bestFit="1" customWidth="1"/>
    <col min="19" max="19" width="13.33203125" bestFit="1" customWidth="1"/>
    <col min="20" max="20" width="11.6640625" bestFit="1" customWidth="1"/>
  </cols>
  <sheetData>
    <row r="1" spans="1:19" s="11" customFormat="1" ht="21.6" thickBot="1" x14ac:dyDescent="0.4">
      <c r="B1" s="261" t="s">
        <v>116</v>
      </c>
      <c r="C1" s="261"/>
      <c r="D1" s="261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9" s="10" customFormat="1" ht="16.2" thickBot="1" x14ac:dyDescent="0.35">
      <c r="A2" s="78" t="s">
        <v>190</v>
      </c>
      <c r="B2" s="78" t="s">
        <v>189</v>
      </c>
      <c r="C2" s="78" t="s">
        <v>30</v>
      </c>
      <c r="D2" s="79" t="s">
        <v>0</v>
      </c>
      <c r="E2" s="78" t="s">
        <v>17</v>
      </c>
      <c r="F2" s="78" t="s">
        <v>18</v>
      </c>
      <c r="G2" s="78" t="s">
        <v>19</v>
      </c>
      <c r="H2" s="78" t="s">
        <v>20</v>
      </c>
      <c r="I2" s="78" t="s">
        <v>21</v>
      </c>
      <c r="J2" s="78" t="s">
        <v>22</v>
      </c>
      <c r="K2" s="78" t="s">
        <v>23</v>
      </c>
      <c r="L2" s="78" t="s">
        <v>24</v>
      </c>
      <c r="M2" s="78" t="s">
        <v>25</v>
      </c>
      <c r="N2" s="78" t="s">
        <v>26</v>
      </c>
      <c r="O2" s="78" t="s">
        <v>27</v>
      </c>
      <c r="P2" s="78" t="s">
        <v>28</v>
      </c>
      <c r="Q2" s="78" t="s">
        <v>0</v>
      </c>
    </row>
    <row r="3" spans="1:19" s="4" customFormat="1" x14ac:dyDescent="0.25">
      <c r="A3" s="80">
        <v>113</v>
      </c>
      <c r="B3" s="80">
        <v>11301</v>
      </c>
      <c r="C3" s="80" t="s">
        <v>385</v>
      </c>
      <c r="D3" s="81">
        <f>+Q3</f>
        <v>2548181.7503999998</v>
      </c>
      <c r="E3" s="82">
        <v>212348.47920000003</v>
      </c>
      <c r="F3" s="82">
        <v>212348.47920000003</v>
      </c>
      <c r="G3" s="82">
        <v>212348.47920000003</v>
      </c>
      <c r="H3" s="82">
        <v>212348.47920000003</v>
      </c>
      <c r="I3" s="82">
        <v>212348.47920000003</v>
      </c>
      <c r="J3" s="82">
        <v>212348.47920000003</v>
      </c>
      <c r="K3" s="82">
        <v>212348.47920000003</v>
      </c>
      <c r="L3" s="82">
        <v>212348.47920000003</v>
      </c>
      <c r="M3" s="82">
        <v>212348.47920000003</v>
      </c>
      <c r="N3" s="82">
        <v>212348.47920000003</v>
      </c>
      <c r="O3" s="82">
        <v>212348.47920000003</v>
      </c>
      <c r="P3" s="82">
        <v>212348.47920000003</v>
      </c>
      <c r="Q3" s="83">
        <f>SUM(E3:P3)</f>
        <v>2548181.7503999998</v>
      </c>
      <c r="R3" s="5"/>
    </row>
    <row r="4" spans="1:19" s="4" customFormat="1" x14ac:dyDescent="0.25">
      <c r="A4" s="84">
        <v>113</v>
      </c>
      <c r="B4" s="84">
        <v>11313</v>
      </c>
      <c r="C4" s="84" t="s">
        <v>479</v>
      </c>
      <c r="D4" s="81">
        <f>+Q4</f>
        <v>788466.62918399973</v>
      </c>
      <c r="E4" s="82">
        <v>65705.552431999997</v>
      </c>
      <c r="F4" s="82">
        <v>65705.552431999997</v>
      </c>
      <c r="G4" s="82">
        <v>65705.552431999997</v>
      </c>
      <c r="H4" s="82">
        <v>65705.552431999997</v>
      </c>
      <c r="I4" s="82">
        <v>65705.552431999997</v>
      </c>
      <c r="J4" s="82">
        <v>65705.552431999997</v>
      </c>
      <c r="K4" s="82">
        <v>65705.552431999997</v>
      </c>
      <c r="L4" s="82">
        <v>65705.552431999997</v>
      </c>
      <c r="M4" s="82">
        <v>65705.552431999997</v>
      </c>
      <c r="N4" s="82">
        <v>65705.552431999997</v>
      </c>
      <c r="O4" s="82">
        <v>65705.552431999997</v>
      </c>
      <c r="P4" s="82">
        <v>65705.552431999997</v>
      </c>
      <c r="Q4" s="83">
        <f t="shared" ref="Q4" si="0">SUM(E4:P4)</f>
        <v>788466.62918399973</v>
      </c>
      <c r="S4" s="5"/>
    </row>
    <row r="5" spans="1:19" s="4" customFormat="1" ht="26.4" x14ac:dyDescent="0.25">
      <c r="A5" s="84">
        <v>131</v>
      </c>
      <c r="B5" s="84">
        <v>13101</v>
      </c>
      <c r="C5" s="86" t="s">
        <v>388</v>
      </c>
      <c r="D5" s="81">
        <f>+Q5</f>
        <v>573510.23808000016</v>
      </c>
      <c r="E5" s="82">
        <v>47792.519840000008</v>
      </c>
      <c r="F5" s="82">
        <v>47792.519840000008</v>
      </c>
      <c r="G5" s="82">
        <v>47792.519840000008</v>
      </c>
      <c r="H5" s="82">
        <v>47792.519840000008</v>
      </c>
      <c r="I5" s="82">
        <v>47792.519840000008</v>
      </c>
      <c r="J5" s="82">
        <v>47792.519840000008</v>
      </c>
      <c r="K5" s="82">
        <v>47792.519840000008</v>
      </c>
      <c r="L5" s="82">
        <v>47792.519840000008</v>
      </c>
      <c r="M5" s="82">
        <v>47792.519840000008</v>
      </c>
      <c r="N5" s="82">
        <v>47792.519840000008</v>
      </c>
      <c r="O5" s="82">
        <v>47792.519840000008</v>
      </c>
      <c r="P5" s="82">
        <v>47792.519840000008</v>
      </c>
      <c r="Q5" s="83">
        <f t="shared" ref="Q5:Q18" si="1">SUM(E5:P5)</f>
        <v>573510.23808000016</v>
      </c>
      <c r="S5" s="5"/>
    </row>
    <row r="6" spans="1:19" s="4" customFormat="1" x14ac:dyDescent="0.25">
      <c r="A6" s="84">
        <v>132</v>
      </c>
      <c r="B6" s="84">
        <v>13201</v>
      </c>
      <c r="C6" s="84" t="s">
        <v>389</v>
      </c>
      <c r="D6" s="85">
        <f t="shared" ref="D6" si="2">+Q6</f>
        <v>64417.208266666654</v>
      </c>
      <c r="E6" s="82">
        <v>0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32208.604133333327</v>
      </c>
      <c r="L6" s="82">
        <v>0</v>
      </c>
      <c r="M6" s="82">
        <v>0</v>
      </c>
      <c r="N6" s="82">
        <v>0</v>
      </c>
      <c r="O6" s="82">
        <v>0</v>
      </c>
      <c r="P6" s="82">
        <v>32208.604133333327</v>
      </c>
      <c r="Q6" s="83">
        <f t="shared" si="1"/>
        <v>64417.208266666654</v>
      </c>
      <c r="R6" s="5"/>
      <c r="S6" s="5"/>
    </row>
    <row r="7" spans="1:19" s="4" customFormat="1" x14ac:dyDescent="0.25">
      <c r="A7" s="84">
        <v>132</v>
      </c>
      <c r="B7" s="84">
        <v>13202</v>
      </c>
      <c r="C7" s="84" t="s">
        <v>386</v>
      </c>
      <c r="D7" s="85">
        <f>+Q7</f>
        <v>728677.20881999994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728677.20881999994</v>
      </c>
      <c r="Q7" s="83">
        <f t="shared" si="1"/>
        <v>728677.20881999994</v>
      </c>
      <c r="S7" s="5"/>
    </row>
    <row r="8" spans="1:19" s="4" customFormat="1" x14ac:dyDescent="0.25">
      <c r="A8" s="84">
        <v>132</v>
      </c>
      <c r="B8" s="84">
        <v>13203</v>
      </c>
      <c r="C8" s="84" t="s">
        <v>480</v>
      </c>
      <c r="D8" s="85">
        <f>+Q8</f>
        <v>64417.208266666654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25766.883306666667</v>
      </c>
      <c r="L8" s="82">
        <v>0</v>
      </c>
      <c r="M8" s="82">
        <v>0</v>
      </c>
      <c r="N8" s="82">
        <v>0</v>
      </c>
      <c r="O8" s="82">
        <v>0</v>
      </c>
      <c r="P8" s="82">
        <v>38650.324959999984</v>
      </c>
      <c r="Q8" s="83">
        <f t="shared" si="1"/>
        <v>64417.208266666654</v>
      </c>
      <c r="S8" s="5"/>
    </row>
    <row r="9" spans="1:19" s="4" customFormat="1" x14ac:dyDescent="0.25">
      <c r="A9" s="84">
        <v>134</v>
      </c>
      <c r="B9" s="84">
        <v>13403</v>
      </c>
      <c r="C9" s="84" t="s">
        <v>390</v>
      </c>
      <c r="D9" s="85">
        <f t="shared" ref="D9:D17" si="3">+Q9</f>
        <v>1122297.6191999998</v>
      </c>
      <c r="E9" s="82">
        <v>93524.801599999992</v>
      </c>
      <c r="F9" s="82">
        <v>93524.801599999992</v>
      </c>
      <c r="G9" s="82">
        <v>93524.801599999992</v>
      </c>
      <c r="H9" s="82">
        <v>93524.801599999992</v>
      </c>
      <c r="I9" s="82">
        <v>93524.801599999992</v>
      </c>
      <c r="J9" s="82">
        <v>93524.801599999992</v>
      </c>
      <c r="K9" s="82">
        <v>93524.801599999992</v>
      </c>
      <c r="L9" s="82">
        <v>93524.801599999992</v>
      </c>
      <c r="M9" s="82">
        <v>93524.801599999992</v>
      </c>
      <c r="N9" s="82">
        <v>93524.801599999992</v>
      </c>
      <c r="O9" s="82">
        <v>93524.801599999992</v>
      </c>
      <c r="P9" s="82">
        <v>93524.801599999992</v>
      </c>
      <c r="Q9" s="83">
        <f t="shared" si="1"/>
        <v>1122297.6191999998</v>
      </c>
      <c r="R9" s="5"/>
      <c r="S9" s="5"/>
    </row>
    <row r="10" spans="1:19" s="4" customFormat="1" x14ac:dyDescent="0.25">
      <c r="A10" s="84">
        <v>141</v>
      </c>
      <c r="B10" s="84">
        <v>14101</v>
      </c>
      <c r="C10" s="86" t="s">
        <v>387</v>
      </c>
      <c r="D10" s="85">
        <f t="shared" ref="D10" si="4">+Q10</f>
        <v>824652.58137599996</v>
      </c>
      <c r="E10" s="82">
        <v>68721.048448000001</v>
      </c>
      <c r="F10" s="82">
        <v>68721.048448000001</v>
      </c>
      <c r="G10" s="82">
        <v>68721.048448000001</v>
      </c>
      <c r="H10" s="82">
        <v>68721.048448000001</v>
      </c>
      <c r="I10" s="82">
        <v>68721.048448000001</v>
      </c>
      <c r="J10" s="82">
        <v>68721.048448000001</v>
      </c>
      <c r="K10" s="82">
        <v>68721.048448000001</v>
      </c>
      <c r="L10" s="82">
        <v>68721.048448000001</v>
      </c>
      <c r="M10" s="82">
        <v>68721.048448000001</v>
      </c>
      <c r="N10" s="82">
        <v>68721.048448000001</v>
      </c>
      <c r="O10" s="82">
        <v>68721.048448000001</v>
      </c>
      <c r="P10" s="82">
        <v>68721.048448000001</v>
      </c>
      <c r="Q10" s="83">
        <f t="shared" ref="Q10" si="5">SUM(E10:P10)</f>
        <v>824652.58137599996</v>
      </c>
      <c r="R10" s="5"/>
      <c r="S10" s="5"/>
    </row>
    <row r="11" spans="1:19" s="4" customFormat="1" ht="26.4" x14ac:dyDescent="0.25">
      <c r="A11" s="84">
        <v>141</v>
      </c>
      <c r="B11" s="84">
        <v>14102</v>
      </c>
      <c r="C11" s="86" t="s">
        <v>391</v>
      </c>
      <c r="D11" s="85">
        <f t="shared" si="3"/>
        <v>476.39999999999981</v>
      </c>
      <c r="E11" s="82">
        <v>39.699999999999982</v>
      </c>
      <c r="F11" s="82">
        <v>39.699999999999982</v>
      </c>
      <c r="G11" s="82">
        <v>39.699999999999982</v>
      </c>
      <c r="H11" s="82">
        <v>39.699999999999982</v>
      </c>
      <c r="I11" s="82">
        <v>39.699999999999982</v>
      </c>
      <c r="J11" s="82">
        <v>39.699999999999982</v>
      </c>
      <c r="K11" s="82">
        <v>39.699999999999982</v>
      </c>
      <c r="L11" s="82">
        <v>39.699999999999982</v>
      </c>
      <c r="M11" s="82">
        <v>39.699999999999982</v>
      </c>
      <c r="N11" s="82">
        <v>39.699999999999982</v>
      </c>
      <c r="O11" s="82">
        <v>39.699999999999982</v>
      </c>
      <c r="P11" s="82">
        <v>39.699999999999982</v>
      </c>
      <c r="Q11" s="83">
        <f t="shared" si="1"/>
        <v>476.39999999999981</v>
      </c>
      <c r="R11" s="5"/>
    </row>
    <row r="12" spans="1:19" s="4" customFormat="1" ht="26.4" x14ac:dyDescent="0.25">
      <c r="A12" s="84">
        <v>141</v>
      </c>
      <c r="B12" s="84">
        <v>14106</v>
      </c>
      <c r="C12" s="86" t="s">
        <v>392</v>
      </c>
      <c r="D12" s="85">
        <f t="shared" ref="D12" si="6">+Q12</f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3">
        <f t="shared" si="1"/>
        <v>0</v>
      </c>
      <c r="R12" s="5"/>
    </row>
    <row r="13" spans="1:19" s="4" customFormat="1" ht="26.1" customHeight="1" x14ac:dyDescent="0.25">
      <c r="A13" s="84">
        <v>141</v>
      </c>
      <c r="B13" s="84">
        <v>14108</v>
      </c>
      <c r="C13" s="86" t="s">
        <v>393</v>
      </c>
      <c r="D13" s="85">
        <f t="shared" ref="D13:D16" si="7">+Q13</f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3">
        <f t="shared" si="1"/>
        <v>0</v>
      </c>
      <c r="R13" s="5"/>
    </row>
    <row r="14" spans="1:19" s="4" customFormat="1" x14ac:dyDescent="0.25">
      <c r="A14" s="84">
        <v>143</v>
      </c>
      <c r="B14" s="84">
        <v>14301</v>
      </c>
      <c r="C14" s="86" t="s">
        <v>481</v>
      </c>
      <c r="D14" s="85">
        <f t="shared" si="7"/>
        <v>788466.62918399973</v>
      </c>
      <c r="E14" s="82">
        <v>65705.552431999997</v>
      </c>
      <c r="F14" s="82">
        <v>65705.552431999997</v>
      </c>
      <c r="G14" s="82">
        <v>65705.552431999997</v>
      </c>
      <c r="H14" s="82">
        <v>65705.552431999997</v>
      </c>
      <c r="I14" s="82">
        <v>65705.552431999997</v>
      </c>
      <c r="J14" s="82">
        <v>65705.552431999997</v>
      </c>
      <c r="K14" s="82">
        <v>65705.552431999997</v>
      </c>
      <c r="L14" s="82">
        <v>65705.552431999997</v>
      </c>
      <c r="M14" s="82">
        <v>65705.552431999997</v>
      </c>
      <c r="N14" s="82">
        <v>65705.552431999997</v>
      </c>
      <c r="O14" s="82">
        <v>65705.552431999997</v>
      </c>
      <c r="P14" s="82">
        <v>65705.552431999997</v>
      </c>
      <c r="Q14" s="83">
        <f t="shared" si="1"/>
        <v>788466.62918399973</v>
      </c>
      <c r="R14" s="5"/>
    </row>
    <row r="15" spans="1:19" s="4" customFormat="1" ht="26.4" x14ac:dyDescent="0.25">
      <c r="A15" s="84">
        <v>154</v>
      </c>
      <c r="B15" s="84">
        <v>15401</v>
      </c>
      <c r="C15" s="86" t="s">
        <v>484</v>
      </c>
      <c r="D15" s="85">
        <f t="shared" si="7"/>
        <v>4000</v>
      </c>
      <c r="E15" s="82">
        <v>0</v>
      </c>
      <c r="F15" s="82">
        <v>0</v>
      </c>
      <c r="G15" s="82">
        <v>0</v>
      </c>
      <c r="H15" s="82">
        <v>4000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3">
        <f t="shared" si="1"/>
        <v>4000</v>
      </c>
      <c r="R15" s="5"/>
    </row>
    <row r="16" spans="1:19" s="4" customFormat="1" x14ac:dyDescent="0.25">
      <c r="A16" s="84">
        <v>154</v>
      </c>
      <c r="B16" s="84">
        <v>15404</v>
      </c>
      <c r="C16" s="86" t="s">
        <v>483</v>
      </c>
      <c r="D16" s="85">
        <f t="shared" si="7"/>
        <v>13779.644053333333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13779.644053333333</v>
      </c>
      <c r="Q16" s="83">
        <f t="shared" si="1"/>
        <v>13779.644053333333</v>
      </c>
      <c r="R16" s="5"/>
    </row>
    <row r="17" spans="1:18" s="4" customFormat="1" x14ac:dyDescent="0.25">
      <c r="A17" s="84">
        <v>154</v>
      </c>
      <c r="B17" s="84">
        <v>15409</v>
      </c>
      <c r="C17" s="84" t="s">
        <v>482</v>
      </c>
      <c r="D17" s="85">
        <f t="shared" si="3"/>
        <v>143183.04000000001</v>
      </c>
      <c r="E17" s="82">
        <v>11931.92</v>
      </c>
      <c r="F17" s="82">
        <v>11931.92</v>
      </c>
      <c r="G17" s="82">
        <v>11931.92</v>
      </c>
      <c r="H17" s="82">
        <v>11931.92</v>
      </c>
      <c r="I17" s="82">
        <v>11931.92</v>
      </c>
      <c r="J17" s="82">
        <v>11931.92</v>
      </c>
      <c r="K17" s="82">
        <v>11931.92</v>
      </c>
      <c r="L17" s="82">
        <v>11931.92</v>
      </c>
      <c r="M17" s="82">
        <v>11931.92</v>
      </c>
      <c r="N17" s="82">
        <v>11931.92</v>
      </c>
      <c r="O17" s="82">
        <v>11931.92</v>
      </c>
      <c r="P17" s="82">
        <v>11931.92</v>
      </c>
      <c r="Q17" s="83">
        <f t="shared" si="1"/>
        <v>143183.04000000001</v>
      </c>
      <c r="R17" s="5"/>
    </row>
    <row r="18" spans="1:18" s="4" customFormat="1" ht="26.1" customHeight="1" x14ac:dyDescent="0.25">
      <c r="A18" s="84">
        <v>159</v>
      </c>
      <c r="B18" s="84">
        <v>15901</v>
      </c>
      <c r="C18" s="86" t="s">
        <v>394</v>
      </c>
      <c r="D18" s="85">
        <f>+Q18</f>
        <v>1600930.3582832406</v>
      </c>
      <c r="E18" s="82">
        <v>133410.86319027006</v>
      </c>
      <c r="F18" s="82">
        <v>133410.86319027006</v>
      </c>
      <c r="G18" s="82">
        <v>133410.86319027006</v>
      </c>
      <c r="H18" s="82">
        <v>133410.86319027006</v>
      </c>
      <c r="I18" s="82">
        <v>133410.86319027006</v>
      </c>
      <c r="J18" s="82">
        <v>133410.86319027006</v>
      </c>
      <c r="K18" s="82">
        <v>133410.86319027006</v>
      </c>
      <c r="L18" s="82">
        <v>133410.86319027006</v>
      </c>
      <c r="M18" s="82">
        <v>133410.86319027006</v>
      </c>
      <c r="N18" s="82">
        <v>133410.86319027006</v>
      </c>
      <c r="O18" s="82">
        <v>133410.86319027006</v>
      </c>
      <c r="P18" s="82">
        <v>133410.86319027006</v>
      </c>
      <c r="Q18" s="83">
        <f t="shared" si="1"/>
        <v>1600930.3582832406</v>
      </c>
      <c r="R18" s="5"/>
    </row>
    <row r="19" spans="1:18" ht="13.8" thickBot="1" x14ac:dyDescent="0.3">
      <c r="A19" s="84"/>
      <c r="B19" s="87"/>
      <c r="C19" s="87"/>
      <c r="D19" s="88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1"/>
    </row>
    <row r="20" spans="1:18" s="10" customFormat="1" ht="16.2" thickBot="1" x14ac:dyDescent="0.35">
      <c r="A20" s="92"/>
      <c r="B20" s="92"/>
      <c r="C20" s="93" t="s">
        <v>34</v>
      </c>
      <c r="D20" s="94">
        <f t="shared" ref="D20:P20" si="8">SUM(D3:D19)</f>
        <v>9265456.5151139069</v>
      </c>
      <c r="E20" s="94">
        <f t="shared" si="8"/>
        <v>699180.43714227004</v>
      </c>
      <c r="F20" s="94">
        <f t="shared" si="8"/>
        <v>699180.43714227004</v>
      </c>
      <c r="G20" s="94">
        <f t="shared" si="8"/>
        <v>699180.43714227004</v>
      </c>
      <c r="H20" s="94">
        <f t="shared" si="8"/>
        <v>703180.43714227004</v>
      </c>
      <c r="I20" s="94">
        <f t="shared" si="8"/>
        <v>699180.43714227004</v>
      </c>
      <c r="J20" s="94">
        <f t="shared" si="8"/>
        <v>699180.43714227004</v>
      </c>
      <c r="K20" s="94">
        <f t="shared" si="8"/>
        <v>757155.92458227009</v>
      </c>
      <c r="L20" s="94">
        <f t="shared" si="8"/>
        <v>699180.43714227004</v>
      </c>
      <c r="M20" s="94">
        <f t="shared" si="8"/>
        <v>699180.43714227004</v>
      </c>
      <c r="N20" s="94">
        <f t="shared" si="8"/>
        <v>699180.43714227004</v>
      </c>
      <c r="O20" s="94">
        <f t="shared" si="8"/>
        <v>699180.43714227004</v>
      </c>
      <c r="P20" s="94">
        <f t="shared" si="8"/>
        <v>1512496.2191089364</v>
      </c>
      <c r="Q20" s="94">
        <f>SUM(Q3:Q18)</f>
        <v>9265456.5151139069</v>
      </c>
      <c r="R20" s="14"/>
    </row>
    <row r="21" spans="1:18" x14ac:dyDescent="0.25">
      <c r="B21" s="6"/>
      <c r="C21" s="242"/>
      <c r="D21" s="95"/>
      <c r="E21" s="8"/>
      <c r="F21" s="6"/>
      <c r="G21" s="6"/>
      <c r="H21" s="8"/>
      <c r="I21" s="6"/>
      <c r="J21" s="6"/>
      <c r="K21" s="6"/>
      <c r="L21" s="6"/>
      <c r="M21" s="6"/>
      <c r="N21" s="6"/>
      <c r="O21" s="6"/>
      <c r="P21" s="6"/>
      <c r="Q21" s="6"/>
    </row>
    <row r="22" spans="1:18" x14ac:dyDescent="0.25">
      <c r="B22" s="6"/>
      <c r="C22" s="243"/>
      <c r="D22" s="95"/>
      <c r="E22" s="8"/>
      <c r="F22" s="8"/>
      <c r="G22" s="8"/>
      <c r="H22" s="8"/>
      <c r="I22" s="8"/>
      <c r="J22" s="8"/>
      <c r="K22" s="8"/>
      <c r="L22" s="8"/>
      <c r="M22" s="8"/>
      <c r="N22" s="6"/>
      <c r="O22" s="6"/>
      <c r="P22" s="8"/>
      <c r="Q22" s="6"/>
    </row>
    <row r="23" spans="1:18" x14ac:dyDescent="0.25">
      <c r="B23" s="6"/>
      <c r="C23" s="6"/>
      <c r="D23" s="9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8" x14ac:dyDescent="0.25">
      <c r="B24" s="6"/>
      <c r="C24" s="6"/>
      <c r="D24" s="9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8" x14ac:dyDescent="0.25">
      <c r="B25" s="6"/>
      <c r="C25" s="6"/>
      <c r="D25" s="9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x14ac:dyDescent="0.25">
      <c r="B26" s="6"/>
      <c r="C26" s="6"/>
      <c r="D26" s="95"/>
      <c r="E26" s="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8" x14ac:dyDescent="0.25">
      <c r="B27" s="6"/>
      <c r="C27" s="6"/>
      <c r="D27" s="95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8" x14ac:dyDescent="0.25">
      <c r="B28" s="6"/>
      <c r="D28" s="95"/>
      <c r="N28" s="6"/>
      <c r="O28" s="6"/>
      <c r="P28" s="6"/>
      <c r="Q28" s="6"/>
    </row>
    <row r="29" spans="1:18" x14ac:dyDescent="0.25">
      <c r="B29" s="6"/>
      <c r="D29" s="95"/>
      <c r="N29" s="6"/>
      <c r="O29" s="6"/>
      <c r="P29" s="6"/>
      <c r="Q29" s="6"/>
    </row>
    <row r="30" spans="1:18" x14ac:dyDescent="0.25">
      <c r="B30" s="6"/>
      <c r="D30" s="95"/>
      <c r="N30" s="6"/>
      <c r="O30" s="6"/>
      <c r="P30" s="6"/>
      <c r="Q30" s="6"/>
    </row>
    <row r="31" spans="1:18" x14ac:dyDescent="0.25">
      <c r="B31" s="6"/>
      <c r="D31" s="95"/>
      <c r="N31" s="6"/>
      <c r="O31" s="6"/>
      <c r="P31" s="6"/>
      <c r="Q31" s="6"/>
    </row>
    <row r="32" spans="1:18" x14ac:dyDescent="0.25">
      <c r="B32" s="6"/>
      <c r="D32" s="95"/>
      <c r="N32" s="6"/>
      <c r="O32" s="6"/>
      <c r="P32" s="6"/>
      <c r="Q32" s="6"/>
    </row>
    <row r="33" spans="2:29" x14ac:dyDescent="0.25">
      <c r="B33" s="6"/>
      <c r="D33" s="95"/>
      <c r="N33" s="6"/>
      <c r="O33" s="6"/>
      <c r="P33" s="6"/>
      <c r="Q33" s="6"/>
    </row>
    <row r="34" spans="2:29" x14ac:dyDescent="0.25">
      <c r="B34" s="6"/>
      <c r="D34" s="95"/>
      <c r="N34" s="6"/>
      <c r="O34" s="6"/>
      <c r="P34" s="6"/>
      <c r="Q34" s="6"/>
    </row>
    <row r="35" spans="2:29" x14ac:dyDescent="0.25">
      <c r="B35" s="6"/>
      <c r="D35" s="4"/>
      <c r="N35" s="6"/>
      <c r="O35" s="6"/>
      <c r="P35" s="6"/>
      <c r="Q35" s="6"/>
    </row>
    <row r="36" spans="2:29" x14ac:dyDescent="0.25">
      <c r="B36" s="6"/>
      <c r="D36" s="4"/>
      <c r="N36" s="6"/>
      <c r="O36" s="6"/>
      <c r="P36" s="6"/>
      <c r="Q36" s="6"/>
    </row>
    <row r="37" spans="2:29" x14ac:dyDescent="0.25">
      <c r="B37" s="6"/>
      <c r="D37" s="4"/>
      <c r="N37" s="6"/>
      <c r="O37" s="6"/>
      <c r="P37" s="6"/>
      <c r="Q37" s="6"/>
    </row>
    <row r="38" spans="2:29" x14ac:dyDescent="0.25">
      <c r="B38" s="6"/>
      <c r="D38" s="4"/>
      <c r="N38" s="6"/>
      <c r="O38" s="6"/>
      <c r="P38" s="6"/>
      <c r="Q38" s="6"/>
    </row>
    <row r="39" spans="2:29" x14ac:dyDescent="0.25">
      <c r="B39" s="6"/>
      <c r="D39" s="4"/>
      <c r="N39" s="6"/>
      <c r="O39" s="6"/>
      <c r="P39" s="6"/>
      <c r="Q39" s="6"/>
    </row>
    <row r="40" spans="2:29" x14ac:dyDescent="0.25">
      <c r="B40" s="6"/>
      <c r="D40" s="4"/>
      <c r="N40" s="6"/>
      <c r="O40" s="6"/>
      <c r="P40" s="6"/>
      <c r="Q40" s="6"/>
      <c r="S40" s="4"/>
      <c r="T40" s="4"/>
      <c r="U40" s="4"/>
      <c r="V40" s="4"/>
      <c r="W40" s="4"/>
      <c r="X40" s="4"/>
      <c r="Y40" s="262"/>
      <c r="Z40" s="262"/>
      <c r="AA40" s="262"/>
      <c r="AB40" s="262"/>
      <c r="AC40" s="262"/>
    </row>
    <row r="41" spans="2:29" x14ac:dyDescent="0.25">
      <c r="B41" s="6"/>
      <c r="D41" s="4"/>
      <c r="N41" s="6"/>
      <c r="O41" s="6"/>
      <c r="P41" s="6"/>
      <c r="Q41" s="6"/>
    </row>
    <row r="42" spans="2:29" x14ac:dyDescent="0.25">
      <c r="B42" s="6"/>
      <c r="D42" s="4"/>
      <c r="N42" s="6"/>
      <c r="O42" s="6"/>
      <c r="P42" s="6"/>
      <c r="Q42" s="6"/>
    </row>
    <row r="43" spans="2:29" x14ac:dyDescent="0.25">
      <c r="B43" s="6"/>
      <c r="D43" s="4"/>
      <c r="N43" s="6"/>
      <c r="O43" s="6"/>
      <c r="P43" s="6"/>
      <c r="Q43" s="6"/>
    </row>
    <row r="44" spans="2:29" x14ac:dyDescent="0.25">
      <c r="B44" s="6"/>
      <c r="D44" s="4"/>
      <c r="N44" s="6"/>
      <c r="O44" s="6"/>
      <c r="P44" s="6"/>
      <c r="Q44" s="6"/>
    </row>
    <row r="45" spans="2:29" x14ac:dyDescent="0.25">
      <c r="B45" s="6"/>
      <c r="D45" s="4"/>
      <c r="N45" s="6"/>
      <c r="O45" s="6"/>
      <c r="P45" s="6"/>
      <c r="Q45" s="6"/>
    </row>
    <row r="46" spans="2:29" x14ac:dyDescent="0.25">
      <c r="B46" s="6"/>
      <c r="D46" s="4"/>
      <c r="N46" s="6"/>
      <c r="O46" s="6"/>
      <c r="P46" s="6"/>
      <c r="Q46" s="6"/>
    </row>
    <row r="47" spans="2:29" x14ac:dyDescent="0.25">
      <c r="B47" s="6"/>
      <c r="D47" s="4"/>
      <c r="N47" s="6"/>
      <c r="O47" s="6"/>
      <c r="P47" s="6"/>
      <c r="Q47" s="6"/>
    </row>
    <row r="48" spans="2:29" x14ac:dyDescent="0.25">
      <c r="B48" s="6"/>
      <c r="D48" s="4"/>
      <c r="N48" s="6"/>
      <c r="O48" s="6"/>
      <c r="P48" s="6"/>
      <c r="Q48" s="6"/>
    </row>
    <row r="49" spans="2:18" x14ac:dyDescent="0.25">
      <c r="B49" s="6"/>
      <c r="D49" s="4"/>
      <c r="N49" s="6"/>
      <c r="O49" s="6"/>
      <c r="P49" s="6"/>
      <c r="Q49" s="6"/>
    </row>
    <row r="50" spans="2:18" x14ac:dyDescent="0.25">
      <c r="B50" s="6"/>
      <c r="D50" s="4"/>
      <c r="N50" s="6"/>
      <c r="O50" s="6"/>
      <c r="P50" s="6"/>
      <c r="Q50" s="6"/>
    </row>
    <row r="51" spans="2:18" x14ac:dyDescent="0.25">
      <c r="B51" s="6"/>
      <c r="D51" s="4"/>
      <c r="N51" s="6"/>
      <c r="O51" s="6"/>
      <c r="P51" s="6"/>
      <c r="Q51" s="6"/>
    </row>
    <row r="52" spans="2:18" x14ac:dyDescent="0.25">
      <c r="B52" s="6"/>
      <c r="D52" s="4"/>
      <c r="N52" s="6"/>
      <c r="O52" s="6"/>
      <c r="P52" s="6"/>
      <c r="Q52" s="6"/>
    </row>
    <row r="53" spans="2:18" x14ac:dyDescent="0.25">
      <c r="B53" s="6"/>
      <c r="D53" s="4"/>
      <c r="N53" s="6"/>
      <c r="O53" s="6"/>
      <c r="P53" s="6"/>
      <c r="Q53" s="6"/>
    </row>
    <row r="54" spans="2:18" x14ac:dyDescent="0.25">
      <c r="B54" s="6"/>
      <c r="D54" s="4"/>
      <c r="N54" s="6"/>
      <c r="O54" s="6"/>
      <c r="P54" s="6"/>
      <c r="Q54" s="6"/>
    </row>
    <row r="55" spans="2:18" x14ac:dyDescent="0.25">
      <c r="B55" s="6"/>
      <c r="D55" s="4"/>
      <c r="N55" s="6"/>
      <c r="O55" s="6"/>
      <c r="P55" s="6"/>
      <c r="Q55" s="6"/>
    </row>
    <row r="56" spans="2:18" x14ac:dyDescent="0.25">
      <c r="B56" s="6"/>
      <c r="D56" s="4"/>
      <c r="N56" s="6"/>
      <c r="O56" s="6"/>
      <c r="P56" s="6"/>
      <c r="Q56" s="6"/>
    </row>
    <row r="57" spans="2:18" x14ac:dyDescent="0.25">
      <c r="B57" s="6"/>
      <c r="D57" s="4"/>
      <c r="N57" s="6"/>
      <c r="O57" s="6"/>
      <c r="P57" s="6"/>
      <c r="Q57" s="6"/>
    </row>
    <row r="58" spans="2:18" x14ac:dyDescent="0.25">
      <c r="B58" s="6"/>
      <c r="D58" s="4"/>
      <c r="N58" s="6"/>
      <c r="O58" s="6"/>
      <c r="P58" s="6"/>
      <c r="Q58" s="6"/>
    </row>
    <row r="59" spans="2:18" x14ac:dyDescent="0.25">
      <c r="B59" s="6"/>
      <c r="D59" s="4"/>
      <c r="P59" s="6"/>
      <c r="Q59" s="6"/>
    </row>
    <row r="60" spans="2:18" x14ac:dyDescent="0.25">
      <c r="B60" s="6"/>
      <c r="D60" s="4"/>
      <c r="P60" s="6"/>
      <c r="Q60" s="6"/>
    </row>
    <row r="61" spans="2:18" x14ac:dyDescent="0.25">
      <c r="B61" s="6"/>
      <c r="D61" s="4"/>
      <c r="P61" s="6"/>
      <c r="Q61" s="6"/>
    </row>
    <row r="62" spans="2:18" x14ac:dyDescent="0.25">
      <c r="B62" s="6"/>
      <c r="D62" s="4"/>
      <c r="P62" s="6"/>
      <c r="Q62" s="6"/>
      <c r="R62" s="6"/>
    </row>
    <row r="63" spans="2:18" x14ac:dyDescent="0.25">
      <c r="B63" s="6"/>
      <c r="D63" s="4"/>
      <c r="P63" s="6"/>
      <c r="Q63" s="6"/>
      <c r="R63" s="6"/>
    </row>
    <row r="64" spans="2:18" x14ac:dyDescent="0.25">
      <c r="B64" s="6"/>
      <c r="D64" s="4"/>
      <c r="P64" s="6"/>
      <c r="Q64" s="6"/>
      <c r="R64" s="6"/>
    </row>
    <row r="65" spans="2:18" x14ac:dyDescent="0.25">
      <c r="B65" s="6"/>
      <c r="D65" s="4"/>
      <c r="P65" s="6"/>
      <c r="Q65" s="6"/>
      <c r="R65" s="6"/>
    </row>
    <row r="66" spans="2:18" x14ac:dyDescent="0.25">
      <c r="B66" s="6"/>
      <c r="D66" s="4"/>
      <c r="P66" s="6"/>
      <c r="Q66" s="6"/>
      <c r="R66" s="6"/>
    </row>
    <row r="67" spans="2:18" x14ac:dyDescent="0.25">
      <c r="B67" s="6"/>
      <c r="D67" s="4"/>
      <c r="P67" s="6"/>
      <c r="Q67" s="6"/>
      <c r="R67" s="6"/>
    </row>
    <row r="68" spans="2:18" x14ac:dyDescent="0.25">
      <c r="B68" s="6"/>
      <c r="D68" s="4"/>
      <c r="P68" s="6"/>
      <c r="Q68" s="6"/>
      <c r="R68" s="6"/>
    </row>
    <row r="69" spans="2:18" x14ac:dyDescent="0.25">
      <c r="B69" s="6"/>
      <c r="D69" s="4"/>
      <c r="P69" s="6"/>
      <c r="Q69" s="6"/>
      <c r="R69" s="6"/>
    </row>
    <row r="70" spans="2:18" x14ac:dyDescent="0.25">
      <c r="B70" s="6"/>
      <c r="D70" s="4"/>
      <c r="P70" s="6"/>
      <c r="Q70" s="6"/>
      <c r="R70" s="6"/>
    </row>
    <row r="71" spans="2:18" x14ac:dyDescent="0.25">
      <c r="B71" s="6"/>
      <c r="D71" s="4"/>
      <c r="P71" s="6"/>
      <c r="Q71" s="6"/>
      <c r="R71" s="6"/>
    </row>
    <row r="72" spans="2:18" x14ac:dyDescent="0.25">
      <c r="B72" s="6"/>
      <c r="D72" s="4"/>
      <c r="P72" s="6"/>
      <c r="Q72" s="6"/>
      <c r="R72" s="6"/>
    </row>
    <row r="73" spans="2:18" x14ac:dyDescent="0.25">
      <c r="B73" s="6"/>
      <c r="D73" s="4"/>
      <c r="P73" s="6"/>
      <c r="Q73" s="6"/>
      <c r="R73" s="6"/>
    </row>
    <row r="74" spans="2:18" x14ac:dyDescent="0.25">
      <c r="B74" s="6"/>
      <c r="D74" s="4"/>
      <c r="P74" s="6"/>
      <c r="Q74" s="6"/>
      <c r="R74" s="6"/>
    </row>
    <row r="75" spans="2:18" x14ac:dyDescent="0.25">
      <c r="B75" s="6"/>
      <c r="D75" s="4"/>
      <c r="P75" s="6"/>
      <c r="Q75" s="6"/>
      <c r="R75" s="6"/>
    </row>
    <row r="76" spans="2:18" x14ac:dyDescent="0.25">
      <c r="B76" s="6"/>
      <c r="D76" s="4"/>
      <c r="P76" s="6"/>
      <c r="Q76" s="6"/>
      <c r="R76" s="6"/>
    </row>
    <row r="77" spans="2:18" x14ac:dyDescent="0.25">
      <c r="B77" s="6"/>
      <c r="D77" s="4"/>
      <c r="P77" s="6"/>
      <c r="Q77" s="6"/>
      <c r="R77" s="6"/>
    </row>
    <row r="78" spans="2:18" x14ac:dyDescent="0.25">
      <c r="B78" s="6"/>
      <c r="D78" s="4"/>
      <c r="P78" s="6"/>
      <c r="Q78" s="6"/>
      <c r="R78" s="6"/>
    </row>
    <row r="79" spans="2:18" x14ac:dyDescent="0.25">
      <c r="B79" s="6"/>
      <c r="D79" s="4"/>
      <c r="P79" s="6"/>
      <c r="Q79" s="6"/>
      <c r="R79" s="6"/>
    </row>
    <row r="80" spans="2:18" x14ac:dyDescent="0.25">
      <c r="B80" s="6"/>
      <c r="D80" s="4"/>
      <c r="P80" s="6"/>
      <c r="Q80" s="6"/>
      <c r="R80" s="6"/>
    </row>
    <row r="81" spans="2:18" x14ac:dyDescent="0.25">
      <c r="B81" s="6"/>
      <c r="D81" s="4"/>
      <c r="P81" s="6"/>
      <c r="Q81" s="6"/>
      <c r="R81" s="6"/>
    </row>
    <row r="82" spans="2:18" x14ac:dyDescent="0.25">
      <c r="B82" s="6"/>
      <c r="D82" s="4"/>
      <c r="P82" s="6"/>
      <c r="Q82" s="6"/>
      <c r="R82" s="6"/>
    </row>
    <row r="83" spans="2:18" x14ac:dyDescent="0.25">
      <c r="B83" s="6"/>
      <c r="D83" s="4"/>
      <c r="P83" s="6"/>
      <c r="Q83" s="6"/>
      <c r="R83" s="6"/>
    </row>
    <row r="84" spans="2:18" x14ac:dyDescent="0.25">
      <c r="B84" s="6"/>
      <c r="D84" s="4"/>
      <c r="P84" s="6"/>
      <c r="Q84" s="6"/>
      <c r="R84" s="6"/>
    </row>
    <row r="85" spans="2:18" x14ac:dyDescent="0.25">
      <c r="B85" s="6"/>
      <c r="D85" s="4"/>
      <c r="P85" s="6"/>
      <c r="Q85" s="6"/>
      <c r="R85" s="6"/>
    </row>
    <row r="86" spans="2:18" x14ac:dyDescent="0.25">
      <c r="B86" s="6"/>
      <c r="D86" s="4"/>
      <c r="P86" s="6"/>
      <c r="Q86" s="6"/>
      <c r="R86" s="6"/>
    </row>
    <row r="87" spans="2:18" x14ac:dyDescent="0.25">
      <c r="B87" s="6"/>
      <c r="D87" s="4"/>
      <c r="P87" s="6"/>
      <c r="Q87" s="6"/>
      <c r="R87" s="6"/>
    </row>
    <row r="88" spans="2:18" x14ac:dyDescent="0.25">
      <c r="B88" s="6"/>
      <c r="D88" s="4"/>
      <c r="P88" s="6"/>
      <c r="Q88" s="6"/>
      <c r="R88" s="6"/>
    </row>
    <row r="89" spans="2:18" x14ac:dyDescent="0.25">
      <c r="B89" s="6"/>
      <c r="D89" s="4"/>
      <c r="P89" s="6"/>
      <c r="Q89" s="6"/>
      <c r="R89" s="6"/>
    </row>
    <row r="90" spans="2:18" x14ac:dyDescent="0.25">
      <c r="B90" s="6"/>
      <c r="D90" s="4"/>
      <c r="P90" s="6"/>
      <c r="Q90" s="6"/>
    </row>
    <row r="91" spans="2:18" x14ac:dyDescent="0.25">
      <c r="B91" s="6"/>
      <c r="D91" s="4"/>
      <c r="P91" s="6"/>
      <c r="Q91" s="6"/>
    </row>
    <row r="92" spans="2:18" x14ac:dyDescent="0.25">
      <c r="B92" s="6"/>
      <c r="D92" s="4"/>
      <c r="P92" s="6"/>
      <c r="Q92" s="6"/>
    </row>
    <row r="93" spans="2:18" x14ac:dyDescent="0.25">
      <c r="B93" s="6"/>
      <c r="D93" s="4"/>
      <c r="P93" s="6"/>
      <c r="Q93" s="6"/>
    </row>
    <row r="94" spans="2:18" x14ac:dyDescent="0.25">
      <c r="B94" s="6"/>
      <c r="D94" s="4"/>
      <c r="P94" s="6"/>
      <c r="Q94" s="6"/>
    </row>
    <row r="95" spans="2:18" x14ac:dyDescent="0.25">
      <c r="B95" s="6"/>
      <c r="D95" s="4"/>
      <c r="P95" s="6"/>
      <c r="Q95" s="6"/>
    </row>
    <row r="96" spans="2:18" x14ac:dyDescent="0.25">
      <c r="B96" s="6"/>
      <c r="D96" s="4"/>
      <c r="P96" s="6"/>
      <c r="Q96" s="6"/>
    </row>
    <row r="97" spans="2:17" x14ac:dyDescent="0.25">
      <c r="B97" s="6"/>
      <c r="D97" s="4"/>
      <c r="P97" s="6"/>
      <c r="Q97" s="6"/>
    </row>
    <row r="98" spans="2:17" x14ac:dyDescent="0.25">
      <c r="B98" s="6"/>
      <c r="D98" s="4"/>
      <c r="P98" s="6"/>
      <c r="Q98" s="6"/>
    </row>
    <row r="99" spans="2:17" x14ac:dyDescent="0.25">
      <c r="B99" s="6"/>
      <c r="D99" s="4"/>
      <c r="P99" s="6"/>
      <c r="Q99" s="6"/>
    </row>
    <row r="100" spans="2:17" x14ac:dyDescent="0.25">
      <c r="B100" s="6"/>
      <c r="D100" s="4"/>
      <c r="P100" s="6"/>
      <c r="Q100" s="6"/>
    </row>
    <row r="101" spans="2:17" x14ac:dyDescent="0.25">
      <c r="B101" s="6"/>
      <c r="D101" s="4"/>
      <c r="P101" s="6"/>
      <c r="Q101" s="6"/>
    </row>
    <row r="102" spans="2:17" x14ac:dyDescent="0.25">
      <c r="B102" s="6"/>
      <c r="D102" s="4"/>
      <c r="P102" s="6"/>
      <c r="Q102" s="6"/>
    </row>
    <row r="103" spans="2:17" x14ac:dyDescent="0.25">
      <c r="B103" s="6"/>
      <c r="D103" s="4"/>
      <c r="P103" s="6"/>
      <c r="Q103" s="6"/>
    </row>
    <row r="104" spans="2:17" x14ac:dyDescent="0.25">
      <c r="B104" s="6"/>
      <c r="D104" s="4"/>
      <c r="P104" s="6"/>
      <c r="Q104" s="6"/>
    </row>
    <row r="105" spans="2:17" x14ac:dyDescent="0.25">
      <c r="B105" s="6"/>
      <c r="D105" s="4"/>
      <c r="P105" s="6"/>
      <c r="Q105" s="6"/>
    </row>
    <row r="106" spans="2:17" x14ac:dyDescent="0.25">
      <c r="B106" s="6"/>
      <c r="D106" s="4"/>
      <c r="P106" s="6"/>
      <c r="Q106" s="6"/>
    </row>
    <row r="107" spans="2:17" x14ac:dyDescent="0.25">
      <c r="B107" s="6"/>
      <c r="D107" s="4"/>
      <c r="P107" s="6"/>
      <c r="Q107" s="6"/>
    </row>
    <row r="108" spans="2:17" x14ac:dyDescent="0.25">
      <c r="B108" s="6"/>
      <c r="D108" s="4"/>
      <c r="P108" s="6"/>
      <c r="Q108" s="6"/>
    </row>
    <row r="109" spans="2:17" x14ac:dyDescent="0.25">
      <c r="B109" s="6"/>
      <c r="D109" s="4"/>
      <c r="P109" s="6"/>
      <c r="Q109" s="6"/>
    </row>
    <row r="110" spans="2:17" x14ac:dyDescent="0.25">
      <c r="B110" s="6"/>
      <c r="D110" s="4"/>
      <c r="P110" s="6"/>
      <c r="Q110" s="6"/>
    </row>
    <row r="111" spans="2:17" x14ac:dyDescent="0.25">
      <c r="B111" s="6"/>
      <c r="D111" s="4"/>
      <c r="P111" s="6"/>
      <c r="Q111" s="6"/>
    </row>
    <row r="112" spans="2:17" x14ac:dyDescent="0.25">
      <c r="B112" s="6"/>
      <c r="D112" s="4"/>
      <c r="P112" s="6"/>
      <c r="Q112" s="6"/>
    </row>
    <row r="113" spans="2:17" x14ac:dyDescent="0.25">
      <c r="B113" s="6"/>
      <c r="D113" s="4"/>
      <c r="P113" s="6"/>
      <c r="Q113" s="6"/>
    </row>
    <row r="114" spans="2:17" x14ac:dyDescent="0.25">
      <c r="B114" s="6"/>
      <c r="D114" s="4"/>
      <c r="P114" s="6"/>
      <c r="Q114" s="6"/>
    </row>
    <row r="115" spans="2:17" x14ac:dyDescent="0.25">
      <c r="B115" s="6"/>
      <c r="D115" s="4"/>
      <c r="P115" s="6"/>
      <c r="Q115" s="6"/>
    </row>
    <row r="116" spans="2:17" x14ac:dyDescent="0.25">
      <c r="B116" s="6"/>
      <c r="D116" s="4"/>
      <c r="P116" s="6"/>
      <c r="Q116" s="6"/>
    </row>
    <row r="117" spans="2:17" x14ac:dyDescent="0.25">
      <c r="B117" s="6"/>
      <c r="D117" s="4"/>
      <c r="P117" s="6"/>
      <c r="Q117" s="6"/>
    </row>
    <row r="118" spans="2:17" x14ac:dyDescent="0.25">
      <c r="B118" s="6"/>
      <c r="D118" s="4"/>
      <c r="P118" s="6"/>
      <c r="Q118" s="6"/>
    </row>
    <row r="119" spans="2:17" x14ac:dyDescent="0.25">
      <c r="B119" s="6"/>
      <c r="D119" s="4"/>
      <c r="P119" s="6"/>
      <c r="Q119" s="6"/>
    </row>
    <row r="120" spans="2:17" x14ac:dyDescent="0.25">
      <c r="B120" s="6"/>
      <c r="D120" s="4"/>
      <c r="P120" s="6"/>
      <c r="Q120" s="6"/>
    </row>
    <row r="121" spans="2:17" x14ac:dyDescent="0.25">
      <c r="B121" s="6"/>
      <c r="D121" s="4"/>
      <c r="P121" s="6"/>
      <c r="Q121" s="6"/>
    </row>
    <row r="122" spans="2:17" x14ac:dyDescent="0.25">
      <c r="B122" s="6"/>
      <c r="D122" s="4"/>
      <c r="P122" s="6"/>
      <c r="Q122" s="6"/>
    </row>
    <row r="123" spans="2:17" x14ac:dyDescent="0.25">
      <c r="B123" s="6"/>
      <c r="D123" s="4"/>
      <c r="P123" s="6"/>
      <c r="Q123" s="6"/>
    </row>
    <row r="124" spans="2:17" x14ac:dyDescent="0.25">
      <c r="B124" s="6"/>
      <c r="D124" s="4"/>
      <c r="P124" s="6"/>
      <c r="Q124" s="6"/>
    </row>
    <row r="125" spans="2:17" x14ac:dyDescent="0.25">
      <c r="B125" s="6"/>
      <c r="D125" s="4"/>
      <c r="P125" s="6"/>
      <c r="Q125" s="6"/>
    </row>
    <row r="126" spans="2:17" x14ac:dyDescent="0.25">
      <c r="B126" s="6"/>
      <c r="D126" s="4"/>
      <c r="P126" s="6"/>
      <c r="Q126" s="6"/>
    </row>
    <row r="127" spans="2:17" x14ac:dyDescent="0.25">
      <c r="B127" s="6"/>
      <c r="D127" s="4"/>
      <c r="P127" s="6"/>
      <c r="Q127" s="6"/>
    </row>
    <row r="128" spans="2:17" x14ac:dyDescent="0.25">
      <c r="B128" s="6"/>
      <c r="D128" s="4"/>
      <c r="P128" s="6"/>
      <c r="Q128" s="6"/>
    </row>
    <row r="129" spans="2:17" x14ac:dyDescent="0.25">
      <c r="B129" s="6"/>
      <c r="D129" s="4"/>
      <c r="P129" s="6"/>
      <c r="Q129" s="6"/>
    </row>
    <row r="130" spans="2:17" x14ac:dyDescent="0.25">
      <c r="B130" s="6"/>
      <c r="D130" s="4"/>
      <c r="P130" s="6"/>
      <c r="Q130" s="6"/>
    </row>
    <row r="131" spans="2:17" x14ac:dyDescent="0.25">
      <c r="B131" s="6"/>
      <c r="D131" s="4"/>
      <c r="P131" s="6"/>
      <c r="Q131" s="6"/>
    </row>
    <row r="132" spans="2:17" x14ac:dyDescent="0.25">
      <c r="B132" s="6"/>
      <c r="D132" s="4"/>
      <c r="P132" s="6"/>
      <c r="Q132" s="6"/>
    </row>
    <row r="133" spans="2:17" x14ac:dyDescent="0.25">
      <c r="B133" s="6"/>
      <c r="D133" s="4"/>
      <c r="N133" s="6"/>
      <c r="O133" s="6"/>
      <c r="P133" s="6"/>
      <c r="Q133" s="6"/>
    </row>
    <row r="134" spans="2:17" x14ac:dyDescent="0.25">
      <c r="B134" s="6"/>
      <c r="D134" s="4"/>
      <c r="N134" s="6"/>
      <c r="O134" s="6"/>
      <c r="P134" s="6"/>
      <c r="Q134" s="6"/>
    </row>
    <row r="135" spans="2:17" x14ac:dyDescent="0.25">
      <c r="B135" s="6"/>
      <c r="D135" s="4"/>
      <c r="N135" s="6"/>
      <c r="O135" s="6"/>
      <c r="P135" s="6"/>
      <c r="Q135" s="6"/>
    </row>
    <row r="136" spans="2:17" x14ac:dyDescent="0.25">
      <c r="B136" s="6"/>
      <c r="D136" s="4"/>
      <c r="N136" s="6"/>
      <c r="O136" s="6"/>
      <c r="P136" s="6"/>
      <c r="Q136" s="6"/>
    </row>
    <row r="137" spans="2:17" x14ac:dyDescent="0.25">
      <c r="B137" s="6"/>
      <c r="D137" s="4"/>
      <c r="N137" s="6"/>
      <c r="O137" s="6"/>
      <c r="P137" s="6"/>
      <c r="Q137" s="6"/>
    </row>
    <row r="138" spans="2:17" x14ac:dyDescent="0.25">
      <c r="B138" s="6"/>
      <c r="D138" s="4"/>
      <c r="N138" s="6"/>
      <c r="O138" s="6"/>
      <c r="P138" s="6"/>
      <c r="Q138" s="6"/>
    </row>
    <row r="139" spans="2:17" x14ac:dyDescent="0.25">
      <c r="B139" s="6"/>
      <c r="D139" s="4"/>
      <c r="N139" s="6"/>
      <c r="O139" s="6"/>
      <c r="P139" s="6"/>
      <c r="Q139" s="6"/>
    </row>
    <row r="140" spans="2:17" x14ac:dyDescent="0.25">
      <c r="B140" s="6"/>
      <c r="D140" s="4"/>
      <c r="N140" s="6"/>
      <c r="O140" s="6"/>
      <c r="P140" s="6"/>
      <c r="Q140" s="6"/>
    </row>
    <row r="141" spans="2:17" x14ac:dyDescent="0.25">
      <c r="B141" s="6"/>
      <c r="D141" s="4"/>
      <c r="N141" s="6"/>
      <c r="O141" s="6"/>
      <c r="P141" s="6"/>
      <c r="Q141" s="6"/>
    </row>
    <row r="142" spans="2:17" x14ac:dyDescent="0.25">
      <c r="B142" s="6"/>
      <c r="D142" s="4"/>
      <c r="N142" s="6"/>
      <c r="O142" s="6"/>
      <c r="P142" s="6"/>
      <c r="Q142" s="6"/>
    </row>
    <row r="143" spans="2:17" x14ac:dyDescent="0.25">
      <c r="B143" s="6"/>
      <c r="D143" s="4"/>
      <c r="N143" s="6"/>
      <c r="O143" s="6"/>
      <c r="P143" s="6"/>
      <c r="Q143" s="6"/>
    </row>
    <row r="144" spans="2:17" x14ac:dyDescent="0.25">
      <c r="B144" s="6"/>
      <c r="D144" s="4"/>
      <c r="N144" s="6"/>
      <c r="O144" s="6"/>
      <c r="P144" s="6"/>
      <c r="Q144" s="6"/>
    </row>
    <row r="145" spans="2:17" x14ac:dyDescent="0.25">
      <c r="B145" s="6"/>
      <c r="D145" s="4"/>
      <c r="N145" s="6"/>
      <c r="O145" s="6"/>
      <c r="P145" s="6"/>
      <c r="Q145" s="6"/>
    </row>
    <row r="146" spans="2:17" x14ac:dyDescent="0.25">
      <c r="B146" s="6"/>
      <c r="D146" s="4"/>
      <c r="N146" s="6"/>
      <c r="O146" s="6"/>
      <c r="P146" s="6"/>
      <c r="Q146" s="6"/>
    </row>
    <row r="147" spans="2:17" x14ac:dyDescent="0.25">
      <c r="B147" s="6"/>
      <c r="D147" s="4"/>
      <c r="N147" s="6"/>
      <c r="O147" s="6"/>
      <c r="P147" s="6"/>
      <c r="Q147" s="6"/>
    </row>
    <row r="148" spans="2:17" x14ac:dyDescent="0.25">
      <c r="B148" s="6"/>
      <c r="D148" s="4"/>
      <c r="N148" s="6"/>
      <c r="O148" s="6"/>
      <c r="P148" s="6"/>
      <c r="Q148" s="6"/>
    </row>
    <row r="149" spans="2:17" ht="12" customHeight="1" x14ac:dyDescent="0.25">
      <c r="B149" s="6"/>
      <c r="D149" s="4"/>
      <c r="N149" s="6"/>
      <c r="O149" s="6"/>
      <c r="P149" s="6"/>
      <c r="Q149" s="6"/>
    </row>
    <row r="150" spans="2:17" x14ac:dyDescent="0.25">
      <c r="B150" s="6"/>
      <c r="D150" s="4"/>
      <c r="N150" s="6"/>
      <c r="O150" s="6"/>
      <c r="P150" s="6"/>
      <c r="Q150" s="6"/>
    </row>
    <row r="151" spans="2:17" x14ac:dyDescent="0.25">
      <c r="B151" s="6"/>
      <c r="D151" s="4"/>
      <c r="N151" s="6"/>
      <c r="O151" s="6"/>
      <c r="P151" s="6"/>
      <c r="Q151" s="6"/>
    </row>
    <row r="152" spans="2:17" x14ac:dyDescent="0.25">
      <c r="B152" s="6"/>
      <c r="D152" s="4"/>
      <c r="N152" s="6"/>
      <c r="O152" s="6"/>
      <c r="P152" s="6"/>
      <c r="Q152" s="6"/>
    </row>
    <row r="153" spans="2:17" x14ac:dyDescent="0.25">
      <c r="B153" s="6"/>
      <c r="D153" s="4"/>
      <c r="N153" s="6"/>
      <c r="O153" s="6"/>
      <c r="P153" s="6"/>
      <c r="Q153" s="6"/>
    </row>
    <row r="154" spans="2:17" x14ac:dyDescent="0.25">
      <c r="B154" s="6"/>
      <c r="D154" s="4"/>
      <c r="N154" s="6"/>
      <c r="O154" s="6"/>
      <c r="P154" s="6"/>
      <c r="Q154" s="6"/>
    </row>
    <row r="155" spans="2:17" x14ac:dyDescent="0.25">
      <c r="B155" s="6"/>
      <c r="D155" s="4"/>
      <c r="N155" s="6"/>
      <c r="O155" s="6"/>
      <c r="P155" s="6"/>
      <c r="Q155" s="6"/>
    </row>
    <row r="156" spans="2:17" x14ac:dyDescent="0.25">
      <c r="B156" s="6"/>
      <c r="D156" s="4"/>
      <c r="N156" s="6"/>
      <c r="O156" s="6"/>
      <c r="P156" s="6"/>
      <c r="Q156" s="6"/>
    </row>
    <row r="157" spans="2:17" x14ac:dyDescent="0.25">
      <c r="B157" s="6"/>
      <c r="D157" s="4"/>
      <c r="N157" s="6"/>
      <c r="O157" s="6"/>
      <c r="P157" s="6"/>
      <c r="Q157" s="6"/>
    </row>
    <row r="158" spans="2:17" x14ac:dyDescent="0.25">
      <c r="B158" s="6"/>
      <c r="D158" s="4"/>
      <c r="N158" s="6"/>
      <c r="O158" s="6"/>
      <c r="P158" s="6"/>
      <c r="Q158" s="6"/>
    </row>
    <row r="159" spans="2:17" x14ac:dyDescent="0.25">
      <c r="B159" s="6"/>
      <c r="D159" s="4"/>
      <c r="N159" s="6"/>
      <c r="O159" s="6"/>
      <c r="P159" s="6"/>
      <c r="Q159" s="6"/>
    </row>
    <row r="160" spans="2:17" x14ac:dyDescent="0.25">
      <c r="B160" s="6"/>
      <c r="D160" s="4"/>
      <c r="N160" s="6"/>
      <c r="O160" s="6"/>
      <c r="P160" s="6"/>
      <c r="Q160" s="6"/>
    </row>
    <row r="161" spans="2:17" x14ac:dyDescent="0.25">
      <c r="B161" s="6"/>
      <c r="D161" s="4"/>
      <c r="N161" s="6"/>
      <c r="O161" s="6"/>
      <c r="P161" s="6"/>
      <c r="Q161" s="6"/>
    </row>
    <row r="162" spans="2:17" x14ac:dyDescent="0.25">
      <c r="B162" s="6"/>
      <c r="D162" s="4"/>
      <c r="N162" s="6"/>
      <c r="O162" s="6"/>
      <c r="P162" s="6"/>
      <c r="Q162" s="6"/>
    </row>
    <row r="163" spans="2:17" x14ac:dyDescent="0.25">
      <c r="B163" s="6"/>
      <c r="D163" s="4"/>
      <c r="N163" s="6"/>
      <c r="O163" s="6"/>
      <c r="P163" s="6"/>
      <c r="Q163" s="6"/>
    </row>
    <row r="164" spans="2:17" x14ac:dyDescent="0.25">
      <c r="B164" s="6"/>
      <c r="D164" s="4"/>
      <c r="N164" s="6"/>
      <c r="O164" s="6"/>
      <c r="P164" s="6"/>
      <c r="Q164" s="6"/>
    </row>
    <row r="165" spans="2:17" x14ac:dyDescent="0.25">
      <c r="B165" s="6"/>
      <c r="C165" s="95"/>
      <c r="D165" s="95"/>
      <c r="E165" s="9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</row>
    <row r="166" spans="2:17" x14ac:dyDescent="0.25">
      <c r="B166" s="6"/>
      <c r="C166" s="95"/>
      <c r="D166" s="95"/>
      <c r="E166" s="9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</row>
    <row r="167" spans="2:17" x14ac:dyDescent="0.25">
      <c r="B167" s="6"/>
      <c r="C167" s="95"/>
      <c r="D167" s="95"/>
      <c r="E167" s="9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</row>
    <row r="168" spans="2:17" x14ac:dyDescent="0.25">
      <c r="B168" s="6"/>
      <c r="C168" s="95"/>
      <c r="D168" s="95"/>
      <c r="E168" s="9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</row>
    <row r="169" spans="2:17" x14ac:dyDescent="0.25">
      <c r="B169" s="6"/>
      <c r="C169" s="95"/>
      <c r="D169" s="95"/>
      <c r="E169" s="9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</row>
    <row r="170" spans="2:17" x14ac:dyDescent="0.25">
      <c r="B170" s="6"/>
      <c r="C170" s="95"/>
      <c r="D170" s="95"/>
      <c r="E170" s="9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</row>
    <row r="171" spans="2:17" x14ac:dyDescent="0.25">
      <c r="B171" s="6"/>
      <c r="C171" s="95"/>
      <c r="D171" s="95"/>
      <c r="E171" s="9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</row>
    <row r="172" spans="2:17" x14ac:dyDescent="0.25">
      <c r="B172" s="6"/>
      <c r="C172" s="95"/>
      <c r="D172" s="95"/>
      <c r="E172" s="9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</row>
    <row r="173" spans="2:17" x14ac:dyDescent="0.25">
      <c r="B173" s="6"/>
      <c r="C173" s="95"/>
      <c r="D173" s="95"/>
      <c r="E173" s="9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</row>
    <row r="174" spans="2:17" x14ac:dyDescent="0.25">
      <c r="B174" s="6"/>
      <c r="C174" s="95"/>
      <c r="D174" s="95"/>
      <c r="E174" s="9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</row>
    <row r="175" spans="2:17" x14ac:dyDescent="0.25">
      <c r="B175" s="6"/>
      <c r="C175" s="95"/>
      <c r="D175" s="95"/>
      <c r="E175" s="95"/>
      <c r="F175" s="6"/>
      <c r="G175" s="95"/>
      <c r="H175" s="95"/>
      <c r="I175" s="6"/>
      <c r="J175" s="6"/>
      <c r="K175" s="6"/>
      <c r="L175" s="6"/>
      <c r="M175" s="6"/>
      <c r="N175" s="6"/>
      <c r="O175" s="6"/>
      <c r="P175" s="6"/>
      <c r="Q175" s="6"/>
    </row>
    <row r="176" spans="2:17" x14ac:dyDescent="0.25">
      <c r="B176" s="6"/>
      <c r="C176" s="95"/>
      <c r="D176" s="95"/>
      <c r="E176" s="95"/>
      <c r="F176" s="6"/>
      <c r="G176" s="95"/>
      <c r="H176" s="95"/>
      <c r="I176" s="6"/>
      <c r="J176" s="6"/>
      <c r="K176" s="6"/>
      <c r="L176" s="6"/>
      <c r="M176" s="6"/>
      <c r="N176" s="6"/>
      <c r="O176" s="6"/>
      <c r="P176" s="6"/>
      <c r="Q176" s="6"/>
    </row>
    <row r="177" spans="2:17" x14ac:dyDescent="0.25">
      <c r="B177" s="6"/>
      <c r="C177" s="95"/>
      <c r="D177" s="95"/>
      <c r="E177" s="95"/>
      <c r="F177" s="6"/>
      <c r="G177" s="95"/>
      <c r="H177" s="95"/>
      <c r="I177" s="6"/>
      <c r="J177" s="6"/>
      <c r="K177" s="6"/>
      <c r="L177" s="6"/>
      <c r="M177" s="6"/>
      <c r="N177" s="6"/>
      <c r="O177" s="6"/>
      <c r="P177" s="6"/>
      <c r="Q177" s="6"/>
    </row>
    <row r="178" spans="2:17" x14ac:dyDescent="0.25">
      <c r="B178" s="6"/>
      <c r="C178" s="95"/>
      <c r="D178" s="95"/>
      <c r="E178" s="95"/>
      <c r="F178" s="6"/>
      <c r="G178" s="95"/>
      <c r="H178" s="95"/>
      <c r="I178" s="6"/>
      <c r="J178" s="6"/>
      <c r="K178" s="6"/>
      <c r="L178" s="6"/>
      <c r="M178" s="6"/>
      <c r="N178" s="6"/>
      <c r="O178" s="6"/>
      <c r="P178" s="6"/>
      <c r="Q178" s="6"/>
    </row>
    <row r="179" spans="2:17" x14ac:dyDescent="0.25">
      <c r="B179" s="6"/>
      <c r="C179" s="95"/>
      <c r="D179" s="95"/>
      <c r="E179" s="95"/>
      <c r="F179" s="6"/>
      <c r="G179" s="95"/>
      <c r="H179" s="95"/>
      <c r="I179" s="6"/>
      <c r="J179" s="6"/>
      <c r="K179" s="6"/>
      <c r="L179" s="6"/>
      <c r="M179" s="6"/>
      <c r="N179" s="6"/>
      <c r="O179" s="6"/>
      <c r="P179" s="6"/>
      <c r="Q179" s="6"/>
    </row>
    <row r="180" spans="2:17" x14ac:dyDescent="0.25">
      <c r="B180" s="6"/>
      <c r="C180" s="95"/>
      <c r="D180" s="95"/>
      <c r="E180" s="9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</row>
    <row r="181" spans="2:17" x14ac:dyDescent="0.25">
      <c r="B181" s="6"/>
      <c r="C181" s="95"/>
      <c r="D181" s="95"/>
      <c r="E181" s="9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</row>
    <row r="182" spans="2:17" ht="18.75" customHeight="1" thickBot="1" x14ac:dyDescent="0.3">
      <c r="B182" s="263" t="s">
        <v>116</v>
      </c>
      <c r="C182" s="263"/>
      <c r="D182" s="263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ht="13.8" thickBot="1" x14ac:dyDescent="0.3">
      <c r="B183" s="97"/>
      <c r="C183" s="98" t="s">
        <v>30</v>
      </c>
      <c r="D183" s="99" t="s">
        <v>0</v>
      </c>
      <c r="E183" s="100" t="s">
        <v>17</v>
      </c>
      <c r="F183" s="101" t="s">
        <v>18</v>
      </c>
      <c r="G183" s="101" t="s">
        <v>19</v>
      </c>
      <c r="H183" s="101" t="s">
        <v>20</v>
      </c>
      <c r="I183" s="101" t="s">
        <v>21</v>
      </c>
      <c r="J183" s="101" t="s">
        <v>22</v>
      </c>
      <c r="K183" s="101" t="s">
        <v>23</v>
      </c>
      <c r="L183" s="101" t="s">
        <v>24</v>
      </c>
      <c r="M183" s="101" t="s">
        <v>25</v>
      </c>
      <c r="N183" s="101" t="s">
        <v>26</v>
      </c>
      <c r="O183" s="101" t="s">
        <v>27</v>
      </c>
      <c r="P183" s="101" t="s">
        <v>28</v>
      </c>
      <c r="Q183" s="102" t="s">
        <v>0</v>
      </c>
    </row>
    <row r="184" spans="2:17" x14ac:dyDescent="0.25">
      <c r="B184" s="103">
        <v>1101</v>
      </c>
      <c r="C184" s="103" t="s">
        <v>46</v>
      </c>
      <c r="D184" s="104">
        <v>443</v>
      </c>
      <c r="E184" s="105">
        <v>369475.04</v>
      </c>
      <c r="F184" s="106">
        <f t="shared" ref="F184:P184" si="9">+E184</f>
        <v>369475.04</v>
      </c>
      <c r="G184" s="106">
        <f t="shared" si="9"/>
        <v>369475.04</v>
      </c>
      <c r="H184" s="106">
        <f t="shared" si="9"/>
        <v>369475.04</v>
      </c>
      <c r="I184" s="106">
        <f t="shared" si="9"/>
        <v>369475.04</v>
      </c>
      <c r="J184" s="106">
        <f t="shared" si="9"/>
        <v>369475.04</v>
      </c>
      <c r="K184" s="106">
        <f t="shared" si="9"/>
        <v>369475.04</v>
      </c>
      <c r="L184" s="106">
        <f t="shared" si="9"/>
        <v>369475.04</v>
      </c>
      <c r="M184" s="106">
        <f t="shared" si="9"/>
        <v>369475.04</v>
      </c>
      <c r="N184" s="106">
        <f t="shared" si="9"/>
        <v>369475.04</v>
      </c>
      <c r="O184" s="106">
        <f t="shared" si="9"/>
        <v>369475.04</v>
      </c>
      <c r="P184" s="106">
        <f t="shared" si="9"/>
        <v>369475.04</v>
      </c>
      <c r="Q184" s="107">
        <f t="shared" ref="Q184:Q201" si="10">SUM(E184:P184)</f>
        <v>4433700.4799999995</v>
      </c>
    </row>
    <row r="185" spans="2:17" x14ac:dyDescent="0.25">
      <c r="B185" s="103">
        <v>1201</v>
      </c>
      <c r="C185" s="103" t="s">
        <v>47</v>
      </c>
      <c r="D185" s="104">
        <f>Q185</f>
        <v>0</v>
      </c>
      <c r="E185" s="105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7">
        <f t="shared" si="10"/>
        <v>0</v>
      </c>
    </row>
    <row r="186" spans="2:17" x14ac:dyDescent="0.25">
      <c r="B186" s="103">
        <v>1202</v>
      </c>
      <c r="C186" s="103" t="s">
        <v>48</v>
      </c>
      <c r="D186" s="104">
        <v>878281.2</v>
      </c>
      <c r="E186" s="105">
        <v>73190.100000000006</v>
      </c>
      <c r="F186" s="106">
        <f>+E186</f>
        <v>73190.100000000006</v>
      </c>
      <c r="G186" s="106">
        <f>+F186</f>
        <v>73190.100000000006</v>
      </c>
      <c r="H186" s="106">
        <f>+G186</f>
        <v>73190.100000000006</v>
      </c>
      <c r="I186" s="106">
        <f>+H186</f>
        <v>73190.100000000006</v>
      </c>
      <c r="J186" s="106">
        <f>+I186</f>
        <v>73190.100000000006</v>
      </c>
      <c r="K186" s="106">
        <f>G186</f>
        <v>73190.100000000006</v>
      </c>
      <c r="L186" s="106">
        <f>+K186</f>
        <v>73190.100000000006</v>
      </c>
      <c r="M186" s="106">
        <f>+K186</f>
        <v>73190.100000000006</v>
      </c>
      <c r="N186" s="106">
        <f>+M186</f>
        <v>73190.100000000006</v>
      </c>
      <c r="O186" s="106">
        <f>J186</f>
        <v>73190.100000000006</v>
      </c>
      <c r="P186" s="106">
        <f>+O186</f>
        <v>73190.100000000006</v>
      </c>
      <c r="Q186" s="106">
        <f t="shared" si="10"/>
        <v>878281.19999999984</v>
      </c>
    </row>
    <row r="187" spans="2:17" x14ac:dyDescent="0.25">
      <c r="B187" s="103">
        <v>1204</v>
      </c>
      <c r="C187" s="103" t="s">
        <v>49</v>
      </c>
      <c r="D187" s="104">
        <f>Q187</f>
        <v>0</v>
      </c>
      <c r="E187" s="105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7">
        <f t="shared" si="10"/>
        <v>0</v>
      </c>
    </row>
    <row r="188" spans="2:17" x14ac:dyDescent="0.25">
      <c r="B188" s="103">
        <v>1205</v>
      </c>
      <c r="C188" s="103" t="s">
        <v>50</v>
      </c>
      <c r="D188" s="104">
        <v>72000</v>
      </c>
      <c r="E188" s="105">
        <v>2642.7</v>
      </c>
      <c r="F188" s="106">
        <f t="shared" ref="F188:P188" si="11">+E188</f>
        <v>2642.7</v>
      </c>
      <c r="G188" s="106">
        <f t="shared" si="11"/>
        <v>2642.7</v>
      </c>
      <c r="H188" s="106">
        <f t="shared" si="11"/>
        <v>2642.7</v>
      </c>
      <c r="I188" s="106">
        <f t="shared" si="11"/>
        <v>2642.7</v>
      </c>
      <c r="J188" s="106">
        <f t="shared" si="11"/>
        <v>2642.7</v>
      </c>
      <c r="K188" s="106">
        <f t="shared" si="11"/>
        <v>2642.7</v>
      </c>
      <c r="L188" s="106">
        <f t="shared" si="11"/>
        <v>2642.7</v>
      </c>
      <c r="M188" s="106">
        <f t="shared" si="11"/>
        <v>2642.7</v>
      </c>
      <c r="N188" s="106">
        <f t="shared" si="11"/>
        <v>2642.7</v>
      </c>
      <c r="O188" s="106">
        <f t="shared" si="11"/>
        <v>2642.7</v>
      </c>
      <c r="P188" s="106">
        <f t="shared" si="11"/>
        <v>2642.7</v>
      </c>
      <c r="Q188" s="107">
        <f t="shared" si="10"/>
        <v>31712.400000000005</v>
      </c>
    </row>
    <row r="189" spans="2:17" x14ac:dyDescent="0.25">
      <c r="B189" s="103">
        <v>1206</v>
      </c>
      <c r="C189" s="103" t="s">
        <v>51</v>
      </c>
      <c r="D189" s="104">
        <f>Q189</f>
        <v>0</v>
      </c>
      <c r="E189" s="105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7">
        <f t="shared" si="10"/>
        <v>0</v>
      </c>
    </row>
    <row r="190" spans="2:17" x14ac:dyDescent="0.25">
      <c r="B190" s="103">
        <v>1301</v>
      </c>
      <c r="C190" s="103" t="s">
        <v>52</v>
      </c>
      <c r="D190" s="104">
        <f>Q190</f>
        <v>0</v>
      </c>
      <c r="E190" s="105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7">
        <f t="shared" si="10"/>
        <v>0</v>
      </c>
    </row>
    <row r="191" spans="2:17" x14ac:dyDescent="0.25">
      <c r="B191" s="103">
        <v>1306</v>
      </c>
      <c r="C191" s="103" t="s">
        <v>172</v>
      </c>
      <c r="D191" s="104">
        <f>+I275+O275</f>
        <v>0</v>
      </c>
      <c r="E191" s="105"/>
      <c r="F191" s="106"/>
      <c r="G191" s="106"/>
      <c r="H191" s="106"/>
      <c r="I191" s="106"/>
      <c r="J191" s="106"/>
      <c r="K191" s="106">
        <v>85029.84</v>
      </c>
      <c r="L191" s="106"/>
      <c r="M191" s="106"/>
      <c r="N191" s="106"/>
      <c r="O191" s="106"/>
      <c r="P191" s="106">
        <v>97176.960000000006</v>
      </c>
      <c r="Q191" s="107">
        <f t="shared" si="10"/>
        <v>182206.8</v>
      </c>
    </row>
    <row r="192" spans="2:17" x14ac:dyDescent="0.25">
      <c r="B192" s="103">
        <v>1307</v>
      </c>
      <c r="C192" s="103" t="s">
        <v>53</v>
      </c>
      <c r="D192" s="104">
        <f>+E310+G310</f>
        <v>24669.986400000002</v>
      </c>
      <c r="E192" s="105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>
        <v>800435.35</v>
      </c>
      <c r="Q192" s="107">
        <f t="shared" si="10"/>
        <v>800435.35</v>
      </c>
    </row>
    <row r="193" spans="2:17" x14ac:dyDescent="0.25">
      <c r="B193" s="103">
        <v>1308</v>
      </c>
      <c r="C193" s="103" t="s">
        <v>54</v>
      </c>
      <c r="D193" s="104">
        <f>Q193</f>
        <v>0</v>
      </c>
      <c r="E193" s="105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7">
        <f t="shared" si="10"/>
        <v>0</v>
      </c>
    </row>
    <row r="194" spans="2:17" x14ac:dyDescent="0.25">
      <c r="B194" s="103">
        <v>1311</v>
      </c>
      <c r="C194" s="103" t="s">
        <v>55</v>
      </c>
      <c r="D194" s="104">
        <f>Q194</f>
        <v>0</v>
      </c>
      <c r="E194" s="105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7">
        <f t="shared" si="10"/>
        <v>0</v>
      </c>
    </row>
    <row r="195" spans="2:17" x14ac:dyDescent="0.25">
      <c r="B195" s="103">
        <v>1313</v>
      </c>
      <c r="C195" s="103" t="s">
        <v>56</v>
      </c>
      <c r="D195" s="104">
        <f>Q195</f>
        <v>0</v>
      </c>
      <c r="E195" s="105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7">
        <f t="shared" si="10"/>
        <v>0</v>
      </c>
    </row>
    <row r="196" spans="2:17" x14ac:dyDescent="0.25">
      <c r="B196" s="103">
        <v>1333</v>
      </c>
      <c r="C196" s="103" t="s">
        <v>64</v>
      </c>
      <c r="D196" s="104">
        <f>Q196</f>
        <v>0</v>
      </c>
      <c r="E196" s="105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7">
        <f t="shared" si="10"/>
        <v>0</v>
      </c>
    </row>
    <row r="197" spans="2:17" x14ac:dyDescent="0.25">
      <c r="B197" s="103">
        <v>1401</v>
      </c>
      <c r="C197" s="103" t="s">
        <v>57</v>
      </c>
      <c r="D197" s="104">
        <f>+AR222</f>
        <v>0</v>
      </c>
      <c r="E197" s="105">
        <f>+D197/12</f>
        <v>0</v>
      </c>
      <c r="F197" s="106">
        <f t="shared" ref="F197:P200" si="12">+E197</f>
        <v>0</v>
      </c>
      <c r="G197" s="106">
        <f t="shared" si="12"/>
        <v>0</v>
      </c>
      <c r="H197" s="106">
        <f t="shared" si="12"/>
        <v>0</v>
      </c>
      <c r="I197" s="106">
        <f t="shared" si="12"/>
        <v>0</v>
      </c>
      <c r="J197" s="106">
        <f t="shared" si="12"/>
        <v>0</v>
      </c>
      <c r="K197" s="106">
        <f t="shared" si="12"/>
        <v>0</v>
      </c>
      <c r="L197" s="106">
        <f t="shared" si="12"/>
        <v>0</v>
      </c>
      <c r="M197" s="106">
        <f t="shared" si="12"/>
        <v>0</v>
      </c>
      <c r="N197" s="106">
        <f t="shared" si="12"/>
        <v>0</v>
      </c>
      <c r="O197" s="106">
        <f t="shared" si="12"/>
        <v>0</v>
      </c>
      <c r="P197" s="106">
        <f t="shared" si="12"/>
        <v>0</v>
      </c>
      <c r="Q197" s="107">
        <f t="shared" si="10"/>
        <v>0</v>
      </c>
    </row>
    <row r="198" spans="2:17" x14ac:dyDescent="0.25">
      <c r="B198" s="103">
        <v>1403</v>
      </c>
      <c r="C198" s="103" t="s">
        <v>58</v>
      </c>
      <c r="D198" s="104">
        <v>39272.94</v>
      </c>
      <c r="E198" s="105">
        <f>+D198/12</f>
        <v>3272.7450000000003</v>
      </c>
      <c r="F198" s="106">
        <f t="shared" si="12"/>
        <v>3272.7450000000003</v>
      </c>
      <c r="G198" s="106">
        <f t="shared" si="12"/>
        <v>3272.7450000000003</v>
      </c>
      <c r="H198" s="106">
        <f t="shared" si="12"/>
        <v>3272.7450000000003</v>
      </c>
      <c r="I198" s="106">
        <f t="shared" si="12"/>
        <v>3272.7450000000003</v>
      </c>
      <c r="J198" s="106">
        <f t="shared" si="12"/>
        <v>3272.7450000000003</v>
      </c>
      <c r="K198" s="106">
        <f t="shared" si="12"/>
        <v>3272.7450000000003</v>
      </c>
      <c r="L198" s="106">
        <f t="shared" si="12"/>
        <v>3272.7450000000003</v>
      </c>
      <c r="M198" s="106">
        <f t="shared" si="12"/>
        <v>3272.7450000000003</v>
      </c>
      <c r="N198" s="106">
        <f t="shared" si="12"/>
        <v>3272.7450000000003</v>
      </c>
      <c r="O198" s="106">
        <f t="shared" si="12"/>
        <v>3272.7450000000003</v>
      </c>
      <c r="P198" s="106">
        <f t="shared" si="12"/>
        <v>3272.7450000000003</v>
      </c>
      <c r="Q198" s="107">
        <f t="shared" si="10"/>
        <v>39272.94</v>
      </c>
    </row>
    <row r="199" spans="2:17" x14ac:dyDescent="0.25">
      <c r="B199" s="103">
        <v>1404</v>
      </c>
      <c r="C199" s="103" t="s">
        <v>99</v>
      </c>
      <c r="D199" s="104">
        <v>4425.12</v>
      </c>
      <c r="E199" s="105">
        <f>+D199/12</f>
        <v>368.76</v>
      </c>
      <c r="F199" s="106">
        <f>+E199</f>
        <v>368.76</v>
      </c>
      <c r="G199" s="106">
        <f t="shared" si="12"/>
        <v>368.76</v>
      </c>
      <c r="H199" s="106">
        <f t="shared" si="12"/>
        <v>368.76</v>
      </c>
      <c r="I199" s="106">
        <f t="shared" si="12"/>
        <v>368.76</v>
      </c>
      <c r="J199" s="106">
        <f t="shared" si="12"/>
        <v>368.76</v>
      </c>
      <c r="K199" s="106">
        <f t="shared" si="12"/>
        <v>368.76</v>
      </c>
      <c r="L199" s="106">
        <f t="shared" si="12"/>
        <v>368.76</v>
      </c>
      <c r="M199" s="106">
        <f t="shared" si="12"/>
        <v>368.76</v>
      </c>
      <c r="N199" s="106">
        <f t="shared" si="12"/>
        <v>368.76</v>
      </c>
      <c r="O199" s="106">
        <f t="shared" si="12"/>
        <v>368.76</v>
      </c>
      <c r="P199" s="106">
        <f t="shared" si="12"/>
        <v>368.76</v>
      </c>
      <c r="Q199" s="107">
        <f t="shared" si="10"/>
        <v>4425.1200000000008</v>
      </c>
    </row>
    <row r="200" spans="2:17" x14ac:dyDescent="0.25">
      <c r="B200" s="103">
        <v>1406</v>
      </c>
      <c r="C200" s="103" t="s">
        <v>59</v>
      </c>
      <c r="D200" s="104">
        <f>+AP222</f>
        <v>0</v>
      </c>
      <c r="E200" s="105">
        <f>+D200/12</f>
        <v>0</v>
      </c>
      <c r="F200" s="106">
        <f>+E200</f>
        <v>0</v>
      </c>
      <c r="G200" s="106">
        <f t="shared" si="12"/>
        <v>0</v>
      </c>
      <c r="H200" s="106">
        <f t="shared" si="12"/>
        <v>0</v>
      </c>
      <c r="I200" s="106">
        <f t="shared" si="12"/>
        <v>0</v>
      </c>
      <c r="J200" s="106">
        <f t="shared" si="12"/>
        <v>0</v>
      </c>
      <c r="K200" s="106">
        <f t="shared" si="12"/>
        <v>0</v>
      </c>
      <c r="L200" s="106">
        <f t="shared" si="12"/>
        <v>0</v>
      </c>
      <c r="M200" s="106">
        <f t="shared" si="12"/>
        <v>0</v>
      </c>
      <c r="N200" s="106">
        <f t="shared" si="12"/>
        <v>0</v>
      </c>
      <c r="O200" s="106">
        <f t="shared" si="12"/>
        <v>0</v>
      </c>
      <c r="P200" s="106">
        <f t="shared" si="12"/>
        <v>0</v>
      </c>
      <c r="Q200" s="107">
        <f t="shared" si="10"/>
        <v>0</v>
      </c>
    </row>
    <row r="201" spans="2:17" x14ac:dyDescent="0.25">
      <c r="B201" s="103">
        <v>1408</v>
      </c>
      <c r="C201" s="103" t="s">
        <v>60</v>
      </c>
      <c r="D201" s="104">
        <f>Q201</f>
        <v>0</v>
      </c>
      <c r="E201" s="105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7">
        <f t="shared" si="10"/>
        <v>0</v>
      </c>
    </row>
    <row r="202" spans="2:17" x14ac:dyDescent="0.25">
      <c r="B202" s="103"/>
      <c r="C202" s="103"/>
      <c r="D202" s="104"/>
      <c r="E202" s="105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7"/>
    </row>
    <row r="203" spans="2:17" x14ac:dyDescent="0.25">
      <c r="B203" s="103">
        <v>1601</v>
      </c>
      <c r="C203" s="103" t="s">
        <v>61</v>
      </c>
      <c r="D203" s="104">
        <v>112014.24</v>
      </c>
      <c r="E203" s="105">
        <v>9334.52</v>
      </c>
      <c r="F203" s="106">
        <f t="shared" ref="F203:N203" si="13">+E203</f>
        <v>9334.52</v>
      </c>
      <c r="G203" s="106">
        <f t="shared" si="13"/>
        <v>9334.52</v>
      </c>
      <c r="H203" s="106">
        <f t="shared" si="13"/>
        <v>9334.52</v>
      </c>
      <c r="I203" s="106">
        <f t="shared" si="13"/>
        <v>9334.52</v>
      </c>
      <c r="J203" s="106">
        <f t="shared" si="13"/>
        <v>9334.52</v>
      </c>
      <c r="K203" s="106">
        <f t="shared" si="13"/>
        <v>9334.52</v>
      </c>
      <c r="L203" s="106">
        <f t="shared" si="13"/>
        <v>9334.52</v>
      </c>
      <c r="M203" s="106">
        <f t="shared" si="13"/>
        <v>9334.52</v>
      </c>
      <c r="N203" s="106">
        <f t="shared" si="13"/>
        <v>9334.52</v>
      </c>
      <c r="O203" s="106">
        <f>+M203</f>
        <v>9334.52</v>
      </c>
      <c r="P203" s="106">
        <f>+O203</f>
        <v>9334.52</v>
      </c>
      <c r="Q203" s="107">
        <f>SUM(E203:P203)</f>
        <v>112014.24000000003</v>
      </c>
    </row>
    <row r="204" spans="2:17" ht="13.8" thickBot="1" x14ac:dyDescent="0.3">
      <c r="B204" s="103"/>
      <c r="C204" s="103"/>
      <c r="D204" s="104"/>
      <c r="E204" s="108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10"/>
    </row>
    <row r="205" spans="2:17" ht="13.8" thickBot="1" x14ac:dyDescent="0.3">
      <c r="B205" s="97"/>
      <c r="C205" s="111" t="s">
        <v>34</v>
      </c>
      <c r="D205" s="112">
        <f>SUM(D184:D203)</f>
        <v>1131106.4864000001</v>
      </c>
      <c r="E205" s="113">
        <f t="shared" ref="E205:L205" si="14">SUM(E184:E204)</f>
        <v>458283.86500000005</v>
      </c>
      <c r="F205" s="114">
        <f t="shared" si="14"/>
        <v>458283.86500000005</v>
      </c>
      <c r="G205" s="114">
        <f t="shared" si="14"/>
        <v>458283.86500000005</v>
      </c>
      <c r="H205" s="114">
        <f t="shared" si="14"/>
        <v>458283.86500000005</v>
      </c>
      <c r="I205" s="114">
        <f t="shared" si="14"/>
        <v>458283.86500000005</v>
      </c>
      <c r="J205" s="114">
        <f t="shared" si="14"/>
        <v>458283.86500000005</v>
      </c>
      <c r="K205" s="114">
        <f t="shared" si="14"/>
        <v>543313.70500000007</v>
      </c>
      <c r="L205" s="114">
        <f t="shared" si="14"/>
        <v>458283.86500000005</v>
      </c>
      <c r="M205" s="114">
        <f>SUM(M184:M203)</f>
        <v>458283.86500000005</v>
      </c>
      <c r="N205" s="114">
        <f>SUM(N184:N204)</f>
        <v>458283.86500000005</v>
      </c>
      <c r="O205" s="114">
        <f>SUM(O184:O204)</f>
        <v>458283.86500000005</v>
      </c>
      <c r="P205" s="114">
        <f>SUM(P184:P204)</f>
        <v>1355896.175</v>
      </c>
      <c r="Q205" s="115">
        <f>SUM(Q184:Q203)</f>
        <v>6482048.5300000003</v>
      </c>
    </row>
    <row r="206" spans="2:17" x14ac:dyDescent="0.25">
      <c r="B206" s="6"/>
      <c r="C206" s="8"/>
      <c r="D206" s="95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</row>
    <row r="207" spans="2:17" x14ac:dyDescent="0.25">
      <c r="B207" s="6"/>
      <c r="C207" s="8"/>
      <c r="D207" s="95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</row>
    <row r="208" spans="2:17" x14ac:dyDescent="0.25">
      <c r="B208" s="6"/>
      <c r="C208" s="8"/>
      <c r="D208" s="95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</row>
    <row r="209" spans="2:18" x14ac:dyDescent="0.25">
      <c r="B209" s="6"/>
      <c r="C209" s="8"/>
      <c r="D209" s="95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8" x14ac:dyDescent="0.25">
      <c r="B210" s="6"/>
      <c r="C210" s="8"/>
      <c r="D210" s="95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</row>
    <row r="211" spans="2:18" ht="13.8" thickBot="1" x14ac:dyDescent="0.3">
      <c r="B211" s="6"/>
      <c r="C211" s="8"/>
      <c r="D211" s="116" t="s">
        <v>173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</row>
    <row r="212" spans="2:18" ht="13.8" thickBot="1" x14ac:dyDescent="0.3">
      <c r="B212" s="6"/>
      <c r="C212" s="6"/>
      <c r="D212" s="117" t="s">
        <v>167</v>
      </c>
      <c r="E212" s="118" t="s">
        <v>17</v>
      </c>
      <c r="F212" s="119" t="s">
        <v>18</v>
      </c>
      <c r="G212" s="119" t="s">
        <v>19</v>
      </c>
      <c r="H212" s="119" t="s">
        <v>20</v>
      </c>
      <c r="I212" s="119" t="s">
        <v>21</v>
      </c>
      <c r="J212" s="119" t="s">
        <v>22</v>
      </c>
      <c r="K212" s="119" t="s">
        <v>23</v>
      </c>
      <c r="L212" s="6"/>
      <c r="M212" s="6"/>
      <c r="N212" s="6"/>
      <c r="O212" s="6"/>
      <c r="P212" s="6"/>
      <c r="Q212" s="6"/>
    </row>
    <row r="213" spans="2:18" x14ac:dyDescent="0.25">
      <c r="B213" s="6"/>
      <c r="C213" s="120" t="s">
        <v>174</v>
      </c>
      <c r="D213" s="95">
        <f t="shared" ref="D213:D236" si="15">SUM(E224:P224)</f>
        <v>375459.80000000005</v>
      </c>
      <c r="E213" s="8">
        <v>58650.22</v>
      </c>
      <c r="F213" s="8">
        <f t="shared" ref="F213:K232" si="16">+E213</f>
        <v>58650.22</v>
      </c>
      <c r="G213" s="8">
        <f t="shared" si="16"/>
        <v>58650.22</v>
      </c>
      <c r="H213" s="8">
        <f t="shared" si="16"/>
        <v>58650.22</v>
      </c>
      <c r="I213" s="8">
        <f t="shared" si="16"/>
        <v>58650.22</v>
      </c>
      <c r="J213" s="8">
        <f t="shared" si="16"/>
        <v>58650.22</v>
      </c>
      <c r="K213" s="8">
        <f t="shared" si="16"/>
        <v>58650.22</v>
      </c>
      <c r="L213" s="6"/>
      <c r="M213" s="6"/>
      <c r="N213" s="6"/>
      <c r="O213" s="6"/>
      <c r="P213" s="6"/>
      <c r="Q213" s="6"/>
    </row>
    <row r="214" spans="2:18" x14ac:dyDescent="0.25">
      <c r="B214" s="6"/>
      <c r="C214" s="121" t="s">
        <v>101</v>
      </c>
      <c r="D214" s="95">
        <f t="shared" si="15"/>
        <v>254270.75999999995</v>
      </c>
      <c r="E214" s="8">
        <v>33898.92</v>
      </c>
      <c r="F214" s="8">
        <f t="shared" si="16"/>
        <v>33898.92</v>
      </c>
      <c r="G214" s="8">
        <f t="shared" si="16"/>
        <v>33898.92</v>
      </c>
      <c r="H214" s="8">
        <f t="shared" si="16"/>
        <v>33898.92</v>
      </c>
      <c r="I214" s="8">
        <f t="shared" si="16"/>
        <v>33898.92</v>
      </c>
      <c r="J214" s="8">
        <f t="shared" si="16"/>
        <v>33898.92</v>
      </c>
      <c r="K214" s="8">
        <f t="shared" si="16"/>
        <v>33898.92</v>
      </c>
      <c r="L214" s="6"/>
      <c r="M214" s="6"/>
      <c r="N214" s="6"/>
      <c r="O214" s="6"/>
      <c r="P214" s="6"/>
      <c r="Q214" s="6"/>
    </row>
    <row r="215" spans="2:18" x14ac:dyDescent="0.25">
      <c r="B215" s="6"/>
      <c r="C215" s="120" t="s">
        <v>102</v>
      </c>
      <c r="D215" s="95">
        <f t="shared" si="15"/>
        <v>263071.81</v>
      </c>
      <c r="E215" s="8">
        <v>35659.129999999997</v>
      </c>
      <c r="F215" s="8">
        <f t="shared" si="16"/>
        <v>35659.129999999997</v>
      </c>
      <c r="G215" s="8">
        <f t="shared" si="16"/>
        <v>35659.129999999997</v>
      </c>
      <c r="H215" s="8">
        <f t="shared" si="16"/>
        <v>35659.129999999997</v>
      </c>
      <c r="I215" s="8">
        <f t="shared" si="16"/>
        <v>35659.129999999997</v>
      </c>
      <c r="J215" s="8">
        <f t="shared" si="16"/>
        <v>35659.129999999997</v>
      </c>
      <c r="K215" s="8">
        <f t="shared" si="16"/>
        <v>35659.129999999997</v>
      </c>
      <c r="L215" s="6"/>
      <c r="M215" s="6"/>
      <c r="N215" s="6"/>
      <c r="O215" s="6"/>
      <c r="P215" s="6"/>
      <c r="Q215" s="6"/>
    </row>
    <row r="216" spans="2:18" x14ac:dyDescent="0.25">
      <c r="B216" s="6"/>
      <c r="C216" s="121" t="s">
        <v>158</v>
      </c>
      <c r="D216" s="95">
        <f t="shared" si="15"/>
        <v>236791.95999999996</v>
      </c>
      <c r="E216" s="8">
        <v>33889.86</v>
      </c>
      <c r="F216" s="8">
        <f t="shared" si="16"/>
        <v>33889.86</v>
      </c>
      <c r="G216" s="8">
        <f t="shared" si="16"/>
        <v>33889.86</v>
      </c>
      <c r="H216" s="8">
        <f t="shared" si="16"/>
        <v>33889.86</v>
      </c>
      <c r="I216" s="8">
        <f t="shared" si="16"/>
        <v>33889.86</v>
      </c>
      <c r="J216" s="8">
        <f t="shared" si="16"/>
        <v>33889.86</v>
      </c>
      <c r="K216" s="8">
        <f t="shared" si="16"/>
        <v>33889.86</v>
      </c>
      <c r="L216" s="6"/>
      <c r="M216" s="6"/>
      <c r="N216" s="6"/>
      <c r="O216" s="6"/>
      <c r="P216" s="6"/>
      <c r="Q216" s="6"/>
    </row>
    <row r="217" spans="2:18" x14ac:dyDescent="0.25">
      <c r="B217" s="6"/>
      <c r="C217" s="121" t="s">
        <v>103</v>
      </c>
      <c r="D217" s="95">
        <f t="shared" si="15"/>
        <v>126927.92000000001</v>
      </c>
      <c r="E217" s="8">
        <v>17869.25</v>
      </c>
      <c r="F217" s="8">
        <f t="shared" si="16"/>
        <v>17869.25</v>
      </c>
      <c r="G217" s="8">
        <f t="shared" si="16"/>
        <v>17869.25</v>
      </c>
      <c r="H217" s="8">
        <f t="shared" si="16"/>
        <v>17869.25</v>
      </c>
      <c r="I217" s="8">
        <f t="shared" si="16"/>
        <v>17869.25</v>
      </c>
      <c r="J217" s="8">
        <f t="shared" si="16"/>
        <v>17869.25</v>
      </c>
      <c r="K217" s="8">
        <f t="shared" si="16"/>
        <v>17869.25</v>
      </c>
      <c r="L217" s="6"/>
      <c r="M217" s="6"/>
      <c r="N217" s="6"/>
      <c r="O217" s="6"/>
      <c r="P217" s="6"/>
      <c r="Q217" s="6"/>
    </row>
    <row r="218" spans="2:18" x14ac:dyDescent="0.25">
      <c r="B218" s="6"/>
      <c r="C218" s="121" t="s">
        <v>104</v>
      </c>
      <c r="D218" s="95">
        <f t="shared" si="15"/>
        <v>100663.74999999999</v>
      </c>
      <c r="E218" s="8">
        <v>15284.06</v>
      </c>
      <c r="F218" s="8">
        <f t="shared" si="16"/>
        <v>15284.06</v>
      </c>
      <c r="G218" s="8">
        <f t="shared" si="16"/>
        <v>15284.06</v>
      </c>
      <c r="H218" s="8">
        <f t="shared" si="16"/>
        <v>15284.06</v>
      </c>
      <c r="I218" s="8">
        <f t="shared" si="16"/>
        <v>15284.06</v>
      </c>
      <c r="J218" s="8">
        <f t="shared" si="16"/>
        <v>15284.06</v>
      </c>
      <c r="K218" s="8">
        <f t="shared" si="16"/>
        <v>15284.06</v>
      </c>
      <c r="L218" s="6"/>
      <c r="M218" s="6"/>
      <c r="N218" s="6"/>
      <c r="O218" s="6"/>
      <c r="P218" s="6"/>
      <c r="Q218" s="6"/>
    </row>
    <row r="219" spans="2:18" x14ac:dyDescent="0.25">
      <c r="B219" s="6"/>
      <c r="C219" s="120" t="s">
        <v>105</v>
      </c>
      <c r="D219" s="95">
        <f t="shared" si="15"/>
        <v>180455.50000000003</v>
      </c>
      <c r="E219" s="8">
        <v>14811.1</v>
      </c>
      <c r="F219" s="8">
        <f t="shared" si="16"/>
        <v>14811.1</v>
      </c>
      <c r="G219" s="8">
        <f t="shared" si="16"/>
        <v>14811.1</v>
      </c>
      <c r="H219" s="8">
        <f t="shared" si="16"/>
        <v>14811.1</v>
      </c>
      <c r="I219" s="8">
        <f t="shared" si="16"/>
        <v>14811.1</v>
      </c>
      <c r="J219" s="8">
        <f t="shared" si="16"/>
        <v>14811.1</v>
      </c>
      <c r="K219" s="8">
        <f t="shared" si="16"/>
        <v>14811.1</v>
      </c>
      <c r="L219" s="6"/>
      <c r="M219" s="6"/>
      <c r="N219" s="6"/>
      <c r="O219" s="6"/>
      <c r="P219" s="6"/>
      <c r="Q219" s="6"/>
    </row>
    <row r="220" spans="2:18" x14ac:dyDescent="0.25">
      <c r="B220" s="6"/>
      <c r="C220" s="120" t="s">
        <v>175</v>
      </c>
      <c r="D220" s="95">
        <f t="shared" si="15"/>
        <v>111612.93</v>
      </c>
      <c r="E220" s="8">
        <v>6654.78</v>
      </c>
      <c r="F220" s="8">
        <f t="shared" si="16"/>
        <v>6654.78</v>
      </c>
      <c r="G220" s="8">
        <f t="shared" si="16"/>
        <v>6654.78</v>
      </c>
      <c r="H220" s="8">
        <f t="shared" si="16"/>
        <v>6654.78</v>
      </c>
      <c r="I220" s="8">
        <f t="shared" si="16"/>
        <v>6654.78</v>
      </c>
      <c r="J220" s="8">
        <f t="shared" si="16"/>
        <v>6654.78</v>
      </c>
      <c r="K220" s="8">
        <f t="shared" si="16"/>
        <v>6654.78</v>
      </c>
      <c r="L220" s="6"/>
      <c r="M220" s="6"/>
      <c r="N220" s="6"/>
      <c r="O220" s="6"/>
      <c r="P220" s="6"/>
      <c r="Q220" s="6"/>
    </row>
    <row r="221" spans="2:18" ht="12.75" hidden="1" customHeight="1" x14ac:dyDescent="0.25">
      <c r="B221" s="6"/>
      <c r="C221" s="120" t="s">
        <v>107</v>
      </c>
      <c r="D221" s="95">
        <f t="shared" si="15"/>
        <v>2417115.0399999991</v>
      </c>
      <c r="E221" s="8">
        <v>12110.88</v>
      </c>
      <c r="F221" s="8">
        <f t="shared" si="16"/>
        <v>12110.88</v>
      </c>
      <c r="G221" s="8">
        <f t="shared" si="16"/>
        <v>12110.88</v>
      </c>
      <c r="H221" s="8">
        <f t="shared" si="16"/>
        <v>12110.88</v>
      </c>
      <c r="I221" s="8">
        <f t="shared" si="16"/>
        <v>12110.88</v>
      </c>
      <c r="J221" s="8">
        <f t="shared" si="16"/>
        <v>12110.88</v>
      </c>
      <c r="K221" s="8">
        <f t="shared" si="16"/>
        <v>12110.88</v>
      </c>
      <c r="L221" s="6"/>
      <c r="M221" s="6"/>
      <c r="N221" s="6"/>
      <c r="O221" s="6"/>
      <c r="P221" s="6"/>
      <c r="Q221" s="6"/>
    </row>
    <row r="222" spans="2:18" ht="12.75" hidden="1" customHeight="1" x14ac:dyDescent="0.25">
      <c r="B222" s="6"/>
      <c r="C222" s="120" t="s">
        <v>108</v>
      </c>
      <c r="D222" s="95">
        <f t="shared" si="15"/>
        <v>110012.65</v>
      </c>
      <c r="E222" s="8">
        <v>12202.53</v>
      </c>
      <c r="F222" s="8">
        <f t="shared" si="16"/>
        <v>12202.53</v>
      </c>
      <c r="G222" s="8">
        <f t="shared" si="16"/>
        <v>12202.53</v>
      </c>
      <c r="H222" s="8">
        <f t="shared" si="16"/>
        <v>12202.53</v>
      </c>
      <c r="I222" s="8">
        <f t="shared" si="16"/>
        <v>12202.53</v>
      </c>
      <c r="J222" s="8">
        <f t="shared" si="16"/>
        <v>12202.53</v>
      </c>
      <c r="K222" s="8">
        <f t="shared" si="16"/>
        <v>12202.53</v>
      </c>
      <c r="L222" s="6"/>
      <c r="M222" s="6"/>
      <c r="N222" s="6"/>
      <c r="O222" s="6"/>
      <c r="P222" s="6"/>
      <c r="Q222" s="6"/>
    </row>
    <row r="223" spans="2:18" ht="13.5" hidden="1" customHeight="1" thickBot="1" x14ac:dyDescent="0.3">
      <c r="B223" s="6"/>
      <c r="C223" s="120" t="s">
        <v>109</v>
      </c>
      <c r="D223" s="95">
        <f t="shared" si="15"/>
        <v>116055.50000000001</v>
      </c>
      <c r="E223" s="8">
        <v>14811.1</v>
      </c>
      <c r="F223" s="8">
        <f t="shared" si="16"/>
        <v>14811.1</v>
      </c>
      <c r="G223" s="8">
        <f t="shared" si="16"/>
        <v>14811.1</v>
      </c>
      <c r="H223" s="8">
        <f t="shared" si="16"/>
        <v>14811.1</v>
      </c>
      <c r="I223" s="8">
        <f t="shared" si="16"/>
        <v>14811.1</v>
      </c>
      <c r="J223" s="8">
        <f t="shared" si="16"/>
        <v>14811.1</v>
      </c>
      <c r="K223" s="8">
        <f t="shared" si="16"/>
        <v>14811.1</v>
      </c>
      <c r="L223" s="119" t="s">
        <v>24</v>
      </c>
      <c r="M223" s="119" t="s">
        <v>25</v>
      </c>
      <c r="N223" s="119" t="s">
        <v>26</v>
      </c>
      <c r="O223" s="119" t="s">
        <v>27</v>
      </c>
      <c r="P223" s="119" t="s">
        <v>28</v>
      </c>
      <c r="Q223" s="6"/>
    </row>
    <row r="224" spans="2:18" ht="12.75" hidden="1" customHeight="1" x14ac:dyDescent="0.25">
      <c r="B224" s="6"/>
      <c r="C224" s="120" t="s">
        <v>110</v>
      </c>
      <c r="D224" s="95">
        <f t="shared" si="15"/>
        <v>100720.50000000001</v>
      </c>
      <c r="E224" s="8">
        <v>11744.1</v>
      </c>
      <c r="F224" s="8">
        <f t="shared" si="16"/>
        <v>11744.1</v>
      </c>
      <c r="G224" s="8">
        <f t="shared" si="16"/>
        <v>11744.1</v>
      </c>
      <c r="H224" s="8">
        <f t="shared" si="16"/>
        <v>11744.1</v>
      </c>
      <c r="I224" s="8">
        <f t="shared" si="16"/>
        <v>11744.1</v>
      </c>
      <c r="J224" s="8">
        <f t="shared" si="16"/>
        <v>11744.1</v>
      </c>
      <c r="K224" s="8">
        <f t="shared" si="16"/>
        <v>11744.1</v>
      </c>
      <c r="L224" s="8">
        <f t="shared" ref="L224:L245" si="17">+K213</f>
        <v>58650.22</v>
      </c>
      <c r="M224" s="8">
        <f t="shared" ref="M224:P242" si="18">+L224</f>
        <v>58650.22</v>
      </c>
      <c r="N224" s="8">
        <f t="shared" si="18"/>
        <v>58650.22</v>
      </c>
      <c r="O224" s="8">
        <f t="shared" si="18"/>
        <v>58650.22</v>
      </c>
      <c r="P224" s="8">
        <f t="shared" si="18"/>
        <v>58650.22</v>
      </c>
      <c r="Q224" s="8"/>
      <c r="R224" s="1"/>
    </row>
    <row r="225" spans="2:18" ht="12.75" hidden="1" customHeight="1" x14ac:dyDescent="0.25">
      <c r="B225" s="6"/>
      <c r="C225" s="120" t="s">
        <v>111</v>
      </c>
      <c r="D225" s="95">
        <f t="shared" si="15"/>
        <v>402154.4</v>
      </c>
      <c r="E225" s="8">
        <v>12110.88</v>
      </c>
      <c r="F225" s="8">
        <f t="shared" si="16"/>
        <v>12110.88</v>
      </c>
      <c r="G225" s="8">
        <f t="shared" si="16"/>
        <v>12110.88</v>
      </c>
      <c r="H225" s="8">
        <f t="shared" si="16"/>
        <v>12110.88</v>
      </c>
      <c r="I225" s="8">
        <f t="shared" si="16"/>
        <v>12110.88</v>
      </c>
      <c r="J225" s="8">
        <f t="shared" si="16"/>
        <v>12110.88</v>
      </c>
      <c r="K225" s="8">
        <f t="shared" si="16"/>
        <v>12110.88</v>
      </c>
      <c r="L225" s="8">
        <f t="shared" si="17"/>
        <v>33898.92</v>
      </c>
      <c r="M225" s="8">
        <f t="shared" si="18"/>
        <v>33898.92</v>
      </c>
      <c r="N225" s="8">
        <f t="shared" si="18"/>
        <v>33898.92</v>
      </c>
      <c r="O225" s="8">
        <f t="shared" si="18"/>
        <v>33898.92</v>
      </c>
      <c r="P225" s="8">
        <f t="shared" si="18"/>
        <v>33898.92</v>
      </c>
      <c r="Q225" s="8"/>
      <c r="R225" s="1"/>
    </row>
    <row r="226" spans="2:18" ht="12.75" hidden="1" customHeight="1" x14ac:dyDescent="0.25">
      <c r="B226" s="6"/>
      <c r="C226" s="120" t="s">
        <v>112</v>
      </c>
      <c r="D226" s="95">
        <f t="shared" si="15"/>
        <v>535154.4</v>
      </c>
      <c r="E226" s="8">
        <v>12110.88</v>
      </c>
      <c r="F226" s="8">
        <f t="shared" si="16"/>
        <v>12110.88</v>
      </c>
      <c r="G226" s="8">
        <f t="shared" si="16"/>
        <v>12110.88</v>
      </c>
      <c r="H226" s="8">
        <f t="shared" si="16"/>
        <v>12110.88</v>
      </c>
      <c r="I226" s="8">
        <f t="shared" si="16"/>
        <v>12110.88</v>
      </c>
      <c r="J226" s="8">
        <f t="shared" si="16"/>
        <v>12110.88</v>
      </c>
      <c r="K226" s="8">
        <f t="shared" si="16"/>
        <v>12110.88</v>
      </c>
      <c r="L226" s="8">
        <f t="shared" si="17"/>
        <v>35659.129999999997</v>
      </c>
      <c r="M226" s="8">
        <f t="shared" si="18"/>
        <v>35659.129999999997</v>
      </c>
      <c r="N226" s="8">
        <f t="shared" si="18"/>
        <v>35659.129999999997</v>
      </c>
      <c r="O226" s="8">
        <f t="shared" si="18"/>
        <v>35659.129999999997</v>
      </c>
      <c r="P226" s="8">
        <f t="shared" si="18"/>
        <v>35659.129999999997</v>
      </c>
      <c r="Q226" s="8"/>
      <c r="R226" s="1"/>
    </row>
    <row r="227" spans="2:18" ht="12.75" hidden="1" customHeight="1" x14ac:dyDescent="0.25">
      <c r="B227" s="6"/>
      <c r="C227" s="120" t="s">
        <v>113</v>
      </c>
      <c r="D227" s="95">
        <f t="shared" si="15"/>
        <v>48101.899999999994</v>
      </c>
      <c r="E227" s="8">
        <v>9620.3799999999992</v>
      </c>
      <c r="F227" s="8">
        <f t="shared" si="16"/>
        <v>9620.3799999999992</v>
      </c>
      <c r="G227" s="8">
        <f t="shared" si="16"/>
        <v>9620.3799999999992</v>
      </c>
      <c r="H227" s="8">
        <f t="shared" si="16"/>
        <v>9620.3799999999992</v>
      </c>
      <c r="I227" s="8">
        <f t="shared" si="16"/>
        <v>9620.3799999999992</v>
      </c>
      <c r="J227" s="8">
        <f t="shared" si="16"/>
        <v>9620.3799999999992</v>
      </c>
      <c r="K227" s="8">
        <f t="shared" si="16"/>
        <v>9620.3799999999992</v>
      </c>
      <c r="L227" s="8">
        <f t="shared" si="17"/>
        <v>33889.86</v>
      </c>
      <c r="M227" s="8">
        <f t="shared" si="18"/>
        <v>33889.86</v>
      </c>
      <c r="N227" s="8">
        <f t="shared" si="18"/>
        <v>33889.86</v>
      </c>
      <c r="O227" s="8">
        <f t="shared" si="18"/>
        <v>33889.86</v>
      </c>
      <c r="P227" s="8">
        <f t="shared" si="18"/>
        <v>33889.86</v>
      </c>
      <c r="Q227" s="8"/>
      <c r="R227" s="1"/>
    </row>
    <row r="228" spans="2:18" ht="12.75" hidden="1" customHeight="1" x14ac:dyDescent="0.25">
      <c r="B228" s="6"/>
      <c r="C228" s="120" t="s">
        <v>114</v>
      </c>
      <c r="D228" s="95">
        <f t="shared" si="15"/>
        <v>28849.050000000003</v>
      </c>
      <c r="E228" s="8">
        <v>5368.81</v>
      </c>
      <c r="F228" s="8">
        <f t="shared" si="16"/>
        <v>5368.81</v>
      </c>
      <c r="G228" s="8">
        <f t="shared" si="16"/>
        <v>5368.81</v>
      </c>
      <c r="H228" s="8">
        <f t="shared" si="16"/>
        <v>5368.81</v>
      </c>
      <c r="I228" s="8">
        <f t="shared" si="16"/>
        <v>5368.81</v>
      </c>
      <c r="J228" s="8">
        <f t="shared" si="16"/>
        <v>5368.81</v>
      </c>
      <c r="K228" s="8">
        <f t="shared" si="16"/>
        <v>5368.81</v>
      </c>
      <c r="L228" s="8">
        <f t="shared" si="17"/>
        <v>17869.25</v>
      </c>
      <c r="M228" s="8">
        <f t="shared" si="18"/>
        <v>17869.25</v>
      </c>
      <c r="N228" s="8">
        <f t="shared" si="18"/>
        <v>17869.25</v>
      </c>
      <c r="O228" s="8">
        <f t="shared" si="18"/>
        <v>17869.25</v>
      </c>
      <c r="P228" s="8">
        <f t="shared" si="18"/>
        <v>17869.25</v>
      </c>
      <c r="Q228" s="8"/>
      <c r="R228" s="1"/>
    </row>
    <row r="229" spans="2:18" ht="12.75" hidden="1" customHeight="1" x14ac:dyDescent="0.25">
      <c r="B229" s="6"/>
      <c r="C229" s="120" t="s">
        <v>115</v>
      </c>
      <c r="D229" s="95">
        <f t="shared" si="15"/>
        <v>17316.829999999998</v>
      </c>
      <c r="E229" s="8">
        <v>3463.35</v>
      </c>
      <c r="F229" s="8">
        <f t="shared" si="16"/>
        <v>3463.35</v>
      </c>
      <c r="G229" s="8">
        <f t="shared" si="16"/>
        <v>3463.35</v>
      </c>
      <c r="H229" s="8">
        <f t="shared" si="16"/>
        <v>3463.35</v>
      </c>
      <c r="I229" s="8">
        <f t="shared" si="16"/>
        <v>3463.35</v>
      </c>
      <c r="J229" s="8">
        <f t="shared" si="16"/>
        <v>3463.35</v>
      </c>
      <c r="K229" s="8">
        <f t="shared" si="16"/>
        <v>3463.35</v>
      </c>
      <c r="L229" s="8">
        <f t="shared" si="17"/>
        <v>15284.06</v>
      </c>
      <c r="M229" s="8">
        <f t="shared" si="18"/>
        <v>15284.06</v>
      </c>
      <c r="N229" s="8">
        <f t="shared" si="18"/>
        <v>15284.06</v>
      </c>
      <c r="O229" s="8">
        <f t="shared" si="18"/>
        <v>15284.06</v>
      </c>
      <c r="P229" s="8">
        <f t="shared" si="18"/>
        <v>15284.06</v>
      </c>
      <c r="Q229" s="8"/>
      <c r="R229" s="1"/>
    </row>
    <row r="230" spans="2:18" ht="12.75" hidden="1" customHeight="1" x14ac:dyDescent="0.25">
      <c r="B230" s="6"/>
      <c r="C230" s="122" t="s">
        <v>159</v>
      </c>
      <c r="D230" s="95">
        <f t="shared" si="15"/>
        <v>84023.239999999991</v>
      </c>
      <c r="E230" s="8">
        <v>15200</v>
      </c>
      <c r="F230" s="8">
        <f t="shared" si="16"/>
        <v>15200</v>
      </c>
      <c r="G230" s="8">
        <f t="shared" si="16"/>
        <v>15200</v>
      </c>
      <c r="H230" s="8">
        <f t="shared" si="16"/>
        <v>15200</v>
      </c>
      <c r="I230" s="8">
        <f t="shared" si="16"/>
        <v>15200</v>
      </c>
      <c r="J230" s="8">
        <f t="shared" si="16"/>
        <v>15200</v>
      </c>
      <c r="K230" s="8">
        <f t="shared" si="16"/>
        <v>15200</v>
      </c>
      <c r="L230" s="8">
        <f t="shared" si="17"/>
        <v>14811.1</v>
      </c>
      <c r="M230" s="8">
        <f t="shared" si="18"/>
        <v>14811.1</v>
      </c>
      <c r="N230" s="8">
        <f t="shared" si="18"/>
        <v>14811.1</v>
      </c>
      <c r="O230" s="8">
        <f t="shared" si="18"/>
        <v>14811.1</v>
      </c>
      <c r="P230" s="8">
        <f t="shared" si="18"/>
        <v>14811.1</v>
      </c>
      <c r="Q230" s="8"/>
      <c r="R230" s="1"/>
    </row>
    <row r="231" spans="2:18" ht="12.75" hidden="1" customHeight="1" x14ac:dyDescent="0.25">
      <c r="B231" s="6"/>
      <c r="C231" s="120" t="s">
        <v>176</v>
      </c>
      <c r="D231" s="95">
        <f t="shared" si="15"/>
        <v>244780.72956800004</v>
      </c>
      <c r="E231" s="8">
        <v>11191.29</v>
      </c>
      <c r="F231" s="8">
        <f t="shared" si="16"/>
        <v>11191.29</v>
      </c>
      <c r="G231" s="8">
        <f t="shared" si="16"/>
        <v>11191.29</v>
      </c>
      <c r="H231" s="8">
        <f t="shared" si="16"/>
        <v>11191.29</v>
      </c>
      <c r="I231" s="8">
        <f t="shared" si="16"/>
        <v>11191.29</v>
      </c>
      <c r="J231" s="8">
        <f t="shared" si="16"/>
        <v>11191.29</v>
      </c>
      <c r="K231" s="8">
        <f t="shared" si="16"/>
        <v>11191.29</v>
      </c>
      <c r="L231" s="8">
        <f t="shared" si="17"/>
        <v>6654.78</v>
      </c>
      <c r="M231" s="8">
        <f t="shared" si="18"/>
        <v>6654.78</v>
      </c>
      <c r="N231" s="8">
        <f t="shared" si="18"/>
        <v>6654.78</v>
      </c>
      <c r="O231" s="8">
        <f t="shared" si="18"/>
        <v>6654.78</v>
      </c>
      <c r="P231" s="8">
        <f t="shared" si="18"/>
        <v>6654.78</v>
      </c>
      <c r="Q231" s="8"/>
      <c r="R231" s="1"/>
    </row>
    <row r="232" spans="2:18" ht="12.75" hidden="1" customHeight="1" x14ac:dyDescent="0.25">
      <c r="B232" s="6"/>
      <c r="C232" s="120"/>
      <c r="D232" s="95">
        <f t="shared" si="15"/>
        <v>1805355.808256</v>
      </c>
      <c r="E232" s="95">
        <f>SUM(E213:E231)</f>
        <v>336651.51999999996</v>
      </c>
      <c r="F232" s="95">
        <f t="shared" si="16"/>
        <v>336651.51999999996</v>
      </c>
      <c r="G232" s="95">
        <f t="shared" si="16"/>
        <v>336651.51999999996</v>
      </c>
      <c r="H232" s="95">
        <f>+G232</f>
        <v>336651.51999999996</v>
      </c>
      <c r="I232" s="95">
        <f>+H232</f>
        <v>336651.51999999996</v>
      </c>
      <c r="J232" s="95">
        <f>+I232</f>
        <v>336651.51999999996</v>
      </c>
      <c r="K232" s="95">
        <f>SUM(K213:K231)</f>
        <v>336651.51999999996</v>
      </c>
      <c r="L232" s="8">
        <f t="shared" si="17"/>
        <v>12110.88</v>
      </c>
      <c r="M232" s="8">
        <f t="shared" si="18"/>
        <v>12110.88</v>
      </c>
      <c r="N232" s="8">
        <f t="shared" si="18"/>
        <v>12110.88</v>
      </c>
      <c r="O232" s="8">
        <f t="shared" si="18"/>
        <v>12110.88</v>
      </c>
      <c r="P232" s="8">
        <f t="shared" si="18"/>
        <v>12110.88</v>
      </c>
      <c r="Q232" s="8"/>
      <c r="R232" s="1"/>
    </row>
    <row r="233" spans="2:18" ht="12.75" hidden="1" customHeight="1" x14ac:dyDescent="0.25">
      <c r="B233" s="6"/>
      <c r="C233" s="120" t="s">
        <v>161</v>
      </c>
      <c r="D233" s="95">
        <f t="shared" si="15"/>
        <v>157071.84545600001</v>
      </c>
      <c r="E233" s="8">
        <v>7000</v>
      </c>
      <c r="F233" s="8">
        <v>7000</v>
      </c>
      <c r="G233" s="8">
        <f>+F233</f>
        <v>7000</v>
      </c>
      <c r="H233" s="8">
        <f t="shared" ref="H233:K234" si="19">+G233</f>
        <v>7000</v>
      </c>
      <c r="I233" s="8">
        <f t="shared" si="19"/>
        <v>7000</v>
      </c>
      <c r="J233" s="8">
        <f t="shared" si="19"/>
        <v>7000</v>
      </c>
      <c r="K233" s="8">
        <f t="shared" si="19"/>
        <v>7000</v>
      </c>
      <c r="L233" s="8">
        <f t="shared" si="17"/>
        <v>12202.53</v>
      </c>
      <c r="M233" s="8">
        <f t="shared" si="18"/>
        <v>12202.53</v>
      </c>
      <c r="N233" s="8">
        <f t="shared" si="18"/>
        <v>12202.53</v>
      </c>
      <c r="O233" s="8">
        <f t="shared" si="18"/>
        <v>12202.53</v>
      </c>
      <c r="P233" s="8">
        <f t="shared" si="18"/>
        <v>12202.53</v>
      </c>
      <c r="Q233" s="8"/>
      <c r="R233" s="1"/>
    </row>
    <row r="234" spans="2:18" ht="12.75" hidden="1" customHeight="1" x14ac:dyDescent="0.25">
      <c r="B234" s="6"/>
      <c r="C234" s="120" t="s">
        <v>162</v>
      </c>
      <c r="D234" s="95">
        <f t="shared" si="15"/>
        <v>144781.237456</v>
      </c>
      <c r="E234" s="8">
        <v>6000</v>
      </c>
      <c r="F234" s="8">
        <f>+E234</f>
        <v>6000</v>
      </c>
      <c r="G234" s="8">
        <f>+F234</f>
        <v>6000</v>
      </c>
      <c r="H234" s="8">
        <f t="shared" si="19"/>
        <v>6000</v>
      </c>
      <c r="I234" s="8">
        <f t="shared" si="19"/>
        <v>6000</v>
      </c>
      <c r="J234" s="8">
        <f t="shared" si="19"/>
        <v>6000</v>
      </c>
      <c r="K234" s="8">
        <f t="shared" si="19"/>
        <v>6000</v>
      </c>
      <c r="L234" s="8">
        <f t="shared" si="17"/>
        <v>14811.1</v>
      </c>
      <c r="M234" s="8">
        <f t="shared" si="18"/>
        <v>14811.1</v>
      </c>
      <c r="N234" s="8">
        <f t="shared" si="18"/>
        <v>14811.1</v>
      </c>
      <c r="O234" s="8">
        <f t="shared" si="18"/>
        <v>14811.1</v>
      </c>
      <c r="P234" s="8">
        <f t="shared" si="18"/>
        <v>14811.1</v>
      </c>
      <c r="Q234" s="8"/>
      <c r="R234" s="1"/>
    </row>
    <row r="235" spans="2:18" ht="12.75" hidden="1" customHeight="1" x14ac:dyDescent="0.25">
      <c r="B235" s="6"/>
      <c r="C235" s="120" t="s">
        <v>168</v>
      </c>
      <c r="D235" s="95">
        <f t="shared" si="15"/>
        <v>88892.760832</v>
      </c>
      <c r="E235" s="8">
        <f t="shared" ref="E235:K235" si="20">+E234</f>
        <v>6000</v>
      </c>
      <c r="F235" s="8">
        <f t="shared" si="20"/>
        <v>6000</v>
      </c>
      <c r="G235" s="8">
        <f t="shared" si="20"/>
        <v>6000</v>
      </c>
      <c r="H235" s="8">
        <f t="shared" si="20"/>
        <v>6000</v>
      </c>
      <c r="I235" s="8">
        <f t="shared" si="20"/>
        <v>6000</v>
      </c>
      <c r="J235" s="8">
        <f t="shared" si="20"/>
        <v>6000</v>
      </c>
      <c r="K235" s="8">
        <f t="shared" si="20"/>
        <v>6000</v>
      </c>
      <c r="L235" s="8">
        <f t="shared" si="17"/>
        <v>11744.1</v>
      </c>
      <c r="M235" s="8">
        <f t="shared" si="18"/>
        <v>11744.1</v>
      </c>
      <c r="N235" s="8">
        <f t="shared" si="18"/>
        <v>11744.1</v>
      </c>
      <c r="O235" s="8">
        <f t="shared" si="18"/>
        <v>11744.1</v>
      </c>
      <c r="P235" s="8">
        <f t="shared" si="18"/>
        <v>11744.1</v>
      </c>
      <c r="Q235" s="8"/>
      <c r="R235" s="1"/>
    </row>
    <row r="236" spans="2:18" ht="12.75" hidden="1" customHeight="1" x14ac:dyDescent="0.25">
      <c r="B236" s="6"/>
      <c r="C236" s="120" t="s">
        <v>181</v>
      </c>
      <c r="D236" s="95">
        <f t="shared" si="15"/>
        <v>290346.63140800002</v>
      </c>
      <c r="E236" s="8">
        <v>48800</v>
      </c>
      <c r="F236" s="8">
        <f t="shared" ref="F236:K236" si="21">+E236</f>
        <v>48800</v>
      </c>
      <c r="G236" s="8">
        <f t="shared" si="21"/>
        <v>48800</v>
      </c>
      <c r="H236" s="8">
        <f t="shared" si="21"/>
        <v>48800</v>
      </c>
      <c r="I236" s="8">
        <f t="shared" si="21"/>
        <v>48800</v>
      </c>
      <c r="J236" s="8">
        <f t="shared" si="21"/>
        <v>48800</v>
      </c>
      <c r="K236" s="8">
        <f t="shared" si="21"/>
        <v>48800</v>
      </c>
      <c r="L236" s="8">
        <f t="shared" si="17"/>
        <v>12110.88</v>
      </c>
      <c r="M236" s="8">
        <f t="shared" si="18"/>
        <v>12110.88</v>
      </c>
      <c r="N236" s="8">
        <f t="shared" si="18"/>
        <v>12110.88</v>
      </c>
      <c r="O236" s="8">
        <f t="shared" si="18"/>
        <v>12110.88</v>
      </c>
      <c r="P236" s="8">
        <f t="shared" si="18"/>
        <v>12110.88</v>
      </c>
      <c r="Q236" s="8"/>
      <c r="R236" s="1"/>
    </row>
    <row r="237" spans="2:18" ht="12.75" hidden="1" customHeight="1" x14ac:dyDescent="0.25">
      <c r="B237" s="6"/>
      <c r="C237" s="120"/>
      <c r="D237" s="95">
        <f t="shared" ref="D237:K237" si="22">SUM(D233:D236)</f>
        <v>681092.47515200009</v>
      </c>
      <c r="E237" s="95">
        <f t="shared" si="22"/>
        <v>67800</v>
      </c>
      <c r="F237" s="95">
        <f t="shared" si="22"/>
        <v>67800</v>
      </c>
      <c r="G237" s="95">
        <f t="shared" si="22"/>
        <v>67800</v>
      </c>
      <c r="H237" s="95">
        <f t="shared" si="22"/>
        <v>67800</v>
      </c>
      <c r="I237" s="95">
        <f t="shared" si="22"/>
        <v>67800</v>
      </c>
      <c r="J237" s="95">
        <f t="shared" si="22"/>
        <v>67800</v>
      </c>
      <c r="K237" s="95">
        <f t="shared" si="22"/>
        <v>67800</v>
      </c>
      <c r="L237" s="8">
        <f t="shared" si="17"/>
        <v>12110.88</v>
      </c>
      <c r="M237" s="8">
        <f t="shared" si="18"/>
        <v>12110.88</v>
      </c>
      <c r="N237" s="8">
        <f t="shared" si="18"/>
        <v>12110.88</v>
      </c>
      <c r="O237" s="8">
        <f t="shared" si="18"/>
        <v>12110.88</v>
      </c>
      <c r="P237" s="8">
        <f t="shared" si="18"/>
        <v>12110.88</v>
      </c>
      <c r="Q237" s="8"/>
      <c r="R237" s="1"/>
    </row>
    <row r="238" spans="2:18" ht="12.75" hidden="1" customHeight="1" x14ac:dyDescent="0.25">
      <c r="B238" s="6"/>
      <c r="C238" s="120"/>
      <c r="D238" s="95"/>
      <c r="E238" s="6"/>
      <c r="F238" s="6"/>
      <c r="G238" s="6"/>
      <c r="H238" s="6"/>
      <c r="I238" s="6"/>
      <c r="J238" s="6"/>
      <c r="K238" s="6"/>
      <c r="L238" s="8">
        <f t="shared" si="17"/>
        <v>9620.3799999999992</v>
      </c>
      <c r="M238" s="8">
        <f t="shared" si="18"/>
        <v>9620.3799999999992</v>
      </c>
      <c r="N238" s="8">
        <f t="shared" si="18"/>
        <v>9620.3799999999992</v>
      </c>
      <c r="O238" s="8">
        <f t="shared" si="18"/>
        <v>9620.3799999999992</v>
      </c>
      <c r="P238" s="8">
        <f t="shared" si="18"/>
        <v>9620.3799999999992</v>
      </c>
      <c r="Q238" s="8"/>
      <c r="R238" s="1"/>
    </row>
    <row r="239" spans="2:18" ht="12.75" hidden="1" customHeight="1" x14ac:dyDescent="0.25">
      <c r="B239" s="6"/>
      <c r="C239" s="6"/>
      <c r="D239" s="95"/>
      <c r="E239" s="123">
        <v>2005</v>
      </c>
      <c r="F239" s="124"/>
      <c r="G239" s="125" t="s">
        <v>154</v>
      </c>
      <c r="I239" s="123" t="s">
        <v>23</v>
      </c>
      <c r="K239" s="126" t="s">
        <v>171</v>
      </c>
      <c r="L239" s="8">
        <f t="shared" si="17"/>
        <v>5368.81</v>
      </c>
      <c r="M239" s="8">
        <f t="shared" si="18"/>
        <v>5368.81</v>
      </c>
      <c r="N239" s="8">
        <f t="shared" si="18"/>
        <v>5368.81</v>
      </c>
      <c r="O239" s="8">
        <f t="shared" si="18"/>
        <v>5368.81</v>
      </c>
      <c r="P239" s="8">
        <f t="shared" si="18"/>
        <v>5368.81</v>
      </c>
      <c r="Q239" s="8"/>
      <c r="R239" s="1"/>
    </row>
    <row r="240" spans="2:18" ht="12.75" hidden="1" customHeight="1" x14ac:dyDescent="0.25">
      <c r="B240" s="6"/>
      <c r="C240" s="6"/>
      <c r="D240" s="116" t="s">
        <v>163</v>
      </c>
      <c r="E240" s="123" t="s">
        <v>165</v>
      </c>
      <c r="F240" s="123" t="s">
        <v>118</v>
      </c>
      <c r="G240" s="123" t="s">
        <v>157</v>
      </c>
      <c r="H240" s="123" t="s">
        <v>166</v>
      </c>
      <c r="I240" s="127">
        <v>0.08</v>
      </c>
      <c r="J240" s="123" t="s">
        <v>170</v>
      </c>
      <c r="K240" s="123" t="s">
        <v>170</v>
      </c>
      <c r="L240" s="8">
        <f t="shared" si="17"/>
        <v>3463.35</v>
      </c>
      <c r="M240" s="8">
        <f t="shared" si="18"/>
        <v>3463.35</v>
      </c>
      <c r="N240" s="8">
        <f t="shared" si="18"/>
        <v>3463.35</v>
      </c>
      <c r="O240" s="8">
        <f t="shared" si="18"/>
        <v>3463.35</v>
      </c>
      <c r="P240" s="8">
        <f t="shared" si="18"/>
        <v>3463.35</v>
      </c>
      <c r="Q240" s="8"/>
      <c r="R240" s="1"/>
    </row>
    <row r="241" spans="2:18" ht="12.75" hidden="1" customHeight="1" x14ac:dyDescent="0.25">
      <c r="B241" s="6"/>
      <c r="C241" s="6"/>
      <c r="D241" s="128" t="s">
        <v>164</v>
      </c>
      <c r="E241" s="127">
        <v>0.08</v>
      </c>
      <c r="F241" s="123">
        <v>2005</v>
      </c>
      <c r="G241" s="127">
        <v>0.08</v>
      </c>
      <c r="H241" s="123">
        <v>2006</v>
      </c>
      <c r="I241" s="123">
        <v>2006</v>
      </c>
      <c r="J241" s="123">
        <v>2006</v>
      </c>
      <c r="K241" s="127">
        <v>0.08</v>
      </c>
      <c r="L241" s="8">
        <f t="shared" si="17"/>
        <v>15200</v>
      </c>
      <c r="M241" s="8">
        <f t="shared" si="18"/>
        <v>15200</v>
      </c>
      <c r="N241" s="8">
        <f t="shared" si="18"/>
        <v>15200</v>
      </c>
      <c r="O241" s="8">
        <f t="shared" si="18"/>
        <v>15200</v>
      </c>
      <c r="P241" s="8">
        <f t="shared" si="18"/>
        <v>15200</v>
      </c>
      <c r="Q241" s="8"/>
      <c r="R241" s="1"/>
    </row>
    <row r="242" spans="2:18" ht="12.75" hidden="1" customHeight="1" x14ac:dyDescent="0.25">
      <c r="B242" s="6"/>
      <c r="C242" s="120" t="str">
        <f>+C213</f>
        <v>FIGUEROA</v>
      </c>
      <c r="D242" s="95">
        <v>15766.87</v>
      </c>
      <c r="E242" s="8">
        <f>+D242*E241+D242</f>
        <v>17028.2196</v>
      </c>
      <c r="F242" s="8">
        <f>16297.13*2</f>
        <v>32594.26</v>
      </c>
      <c r="G242" s="8">
        <f>+F242*G241+F242</f>
        <v>35201.800799999997</v>
      </c>
      <c r="H242" s="8">
        <f>+E242</f>
        <v>17028.2196</v>
      </c>
      <c r="I242" s="8">
        <f>+H242*I240+H242</f>
        <v>18390.477168000001</v>
      </c>
      <c r="J242" s="8">
        <v>32971.78</v>
      </c>
      <c r="K242" s="8">
        <f>+J242*K241+J242</f>
        <v>35609.522400000002</v>
      </c>
      <c r="L242" s="8">
        <f t="shared" si="17"/>
        <v>11191.29</v>
      </c>
      <c r="M242" s="8">
        <f t="shared" si="18"/>
        <v>11191.29</v>
      </c>
      <c r="N242" s="8">
        <f t="shared" si="18"/>
        <v>11191.29</v>
      </c>
      <c r="O242" s="8">
        <f t="shared" si="18"/>
        <v>11191.29</v>
      </c>
      <c r="P242" s="8">
        <f t="shared" si="18"/>
        <v>11191.29</v>
      </c>
      <c r="Q242" s="8"/>
      <c r="R242" s="1"/>
    </row>
    <row r="243" spans="2:18" ht="12.75" hidden="1" customHeight="1" x14ac:dyDescent="0.25">
      <c r="B243" s="6"/>
      <c r="C243" s="120" t="s">
        <v>101</v>
      </c>
      <c r="D243" s="95">
        <v>16857.28</v>
      </c>
      <c r="E243" s="8">
        <f>+D243*E241+D243</f>
        <v>18205.862399999998</v>
      </c>
      <c r="F243" s="8">
        <f>7630.38*2</f>
        <v>15260.76</v>
      </c>
      <c r="G243" s="8">
        <f>+F243*G241+F243</f>
        <v>16481.620800000001</v>
      </c>
      <c r="H243" s="8">
        <f>+E243</f>
        <v>18205.862399999998</v>
      </c>
      <c r="I243" s="8">
        <f>+H243*I240+H243</f>
        <v>19662.331391999996</v>
      </c>
      <c r="J243" s="8">
        <f>+G243</f>
        <v>16481.620800000001</v>
      </c>
      <c r="K243" s="8">
        <f>+J243*K241+J243</f>
        <v>17800.150464000002</v>
      </c>
      <c r="L243" s="95">
        <f t="shared" si="17"/>
        <v>336651.51999999996</v>
      </c>
      <c r="M243" s="95">
        <f t="shared" ref="M243:P245" si="23">+L243</f>
        <v>336651.51999999996</v>
      </c>
      <c r="N243" s="95">
        <f t="shared" si="23"/>
        <v>336651.51999999996</v>
      </c>
      <c r="O243" s="95">
        <f t="shared" si="23"/>
        <v>336651.51999999996</v>
      </c>
      <c r="P243" s="95">
        <f t="shared" si="23"/>
        <v>336651.51999999996</v>
      </c>
      <c r="Q243" s="8"/>
      <c r="R243" s="1"/>
    </row>
    <row r="244" spans="2:18" ht="12.75" hidden="1" customHeight="1" x14ac:dyDescent="0.25">
      <c r="B244" s="6"/>
      <c r="C244" s="120" t="s">
        <v>102</v>
      </c>
      <c r="D244" s="95">
        <v>16832.87</v>
      </c>
      <c r="E244" s="8">
        <f>+D244*E241+D244</f>
        <v>18179.499599999999</v>
      </c>
      <c r="F244" s="8">
        <f>7630.38*2</f>
        <v>15260.76</v>
      </c>
      <c r="G244" s="8">
        <f>+F244*G241+F244</f>
        <v>16481.620800000001</v>
      </c>
      <c r="H244" s="8">
        <f>+H243</f>
        <v>18205.862399999998</v>
      </c>
      <c r="I244" s="8">
        <f>+H244*I240+H244</f>
        <v>19662.331391999996</v>
      </c>
      <c r="J244" s="8">
        <f>+G244</f>
        <v>16481.620800000001</v>
      </c>
      <c r="K244" s="8">
        <f>+J244*K241+J244</f>
        <v>17800.150464000002</v>
      </c>
      <c r="L244" s="8">
        <f t="shared" si="17"/>
        <v>7000</v>
      </c>
      <c r="M244" s="8">
        <f t="shared" si="23"/>
        <v>7000</v>
      </c>
      <c r="N244" s="8">
        <f t="shared" si="23"/>
        <v>7000</v>
      </c>
      <c r="O244" s="8">
        <f t="shared" si="23"/>
        <v>7000</v>
      </c>
      <c r="P244" s="8">
        <f t="shared" si="23"/>
        <v>7000</v>
      </c>
      <c r="Q244" s="8"/>
      <c r="R244" s="1"/>
    </row>
    <row r="245" spans="2:18" ht="12.75" hidden="1" customHeight="1" x14ac:dyDescent="0.25">
      <c r="B245" s="6"/>
      <c r="C245" s="120" t="s">
        <v>158</v>
      </c>
      <c r="D245" s="95">
        <v>16832.87</v>
      </c>
      <c r="E245" s="8">
        <f>+D245*E241+D245</f>
        <v>18179.499599999999</v>
      </c>
      <c r="F245" s="8">
        <f>5877.83*2</f>
        <v>11755.66</v>
      </c>
      <c r="G245" s="8">
        <f>+F245*G241+F245</f>
        <v>12696.112799999999</v>
      </c>
      <c r="H245" s="8">
        <f>+H244</f>
        <v>18205.862399999998</v>
      </c>
      <c r="I245" s="8">
        <f>+H245*I240+H245</f>
        <v>19662.331391999996</v>
      </c>
      <c r="J245" s="8">
        <f>+J244</f>
        <v>16481.620800000001</v>
      </c>
      <c r="K245" s="8">
        <f>+J245*K241+J245</f>
        <v>17800.150464000002</v>
      </c>
      <c r="L245" s="8">
        <f t="shared" si="17"/>
        <v>6000</v>
      </c>
      <c r="M245" s="8">
        <f>+L245</f>
        <v>6000</v>
      </c>
      <c r="N245" s="8">
        <f t="shared" si="23"/>
        <v>6000</v>
      </c>
      <c r="O245" s="8">
        <f t="shared" si="23"/>
        <v>6000</v>
      </c>
      <c r="P245" s="8">
        <f t="shared" si="23"/>
        <v>6000</v>
      </c>
      <c r="Q245" s="8"/>
      <c r="R245" s="1"/>
    </row>
    <row r="246" spans="2:18" ht="12.75" hidden="1" customHeight="1" x14ac:dyDescent="0.25">
      <c r="B246" s="6"/>
      <c r="C246" s="120" t="s">
        <v>103</v>
      </c>
      <c r="D246" s="95">
        <v>12708.64</v>
      </c>
      <c r="E246" s="8">
        <f>+D246*E241+D246</f>
        <v>13725.331199999999</v>
      </c>
      <c r="F246" s="8">
        <f>1920.62*2</f>
        <v>3841.24</v>
      </c>
      <c r="G246" s="8">
        <f>+F246*G241+F246</f>
        <v>4148.5392000000002</v>
      </c>
      <c r="H246" s="8">
        <f>+E246</f>
        <v>13725.331199999999</v>
      </c>
      <c r="I246" s="8">
        <f>+H246*I240+H246</f>
        <v>14823.357695999999</v>
      </c>
      <c r="J246" s="8">
        <f>+G246</f>
        <v>4148.5392000000002</v>
      </c>
      <c r="K246" s="8">
        <f>+J246*K241+J246</f>
        <v>4480.4223360000005</v>
      </c>
      <c r="L246" s="8">
        <f>+L245</f>
        <v>6000</v>
      </c>
      <c r="M246" s="8">
        <f>+M245</f>
        <v>6000</v>
      </c>
      <c r="N246" s="8">
        <f>+N245</f>
        <v>6000</v>
      </c>
      <c r="O246" s="8">
        <f>+O245</f>
        <v>6000</v>
      </c>
      <c r="P246" s="8">
        <f>+P245</f>
        <v>6000</v>
      </c>
      <c r="Q246" s="8"/>
      <c r="R246" s="1"/>
    </row>
    <row r="247" spans="2:18" ht="12.75" hidden="1" customHeight="1" x14ac:dyDescent="0.25">
      <c r="B247" s="6"/>
      <c r="C247" s="120" t="s">
        <v>104</v>
      </c>
      <c r="D247" s="95">
        <v>13932.97</v>
      </c>
      <c r="E247" s="8">
        <f>+D247*E241+D247</f>
        <v>15047.607599999999</v>
      </c>
      <c r="F247" s="8"/>
      <c r="G247" s="8"/>
      <c r="H247" s="8">
        <f>+E247</f>
        <v>15047.607599999999</v>
      </c>
      <c r="I247" s="8">
        <f>+H247*I240+H247</f>
        <v>16251.416207999999</v>
      </c>
      <c r="J247" s="8"/>
      <c r="K247" s="8"/>
      <c r="L247" s="8">
        <f>+K236</f>
        <v>48800</v>
      </c>
      <c r="M247" s="8">
        <f>+L247</f>
        <v>48800</v>
      </c>
      <c r="N247" s="8">
        <f>+M247</f>
        <v>48800</v>
      </c>
      <c r="O247" s="8">
        <f>+N247</f>
        <v>48800</v>
      </c>
      <c r="P247" s="8">
        <f>+O247</f>
        <v>48800</v>
      </c>
      <c r="Q247" s="8"/>
      <c r="R247" s="1"/>
    </row>
    <row r="248" spans="2:18" ht="12.75" hidden="1" customHeight="1" x14ac:dyDescent="0.25">
      <c r="B248" s="6"/>
      <c r="C248" s="120" t="s">
        <v>105</v>
      </c>
      <c r="D248" s="95">
        <v>11421.29</v>
      </c>
      <c r="E248" s="8">
        <f>+D248*E241+D248</f>
        <v>12334.993200000001</v>
      </c>
      <c r="F248" s="8"/>
      <c r="G248" s="8"/>
      <c r="H248" s="8">
        <f>+H247</f>
        <v>15047.607599999999</v>
      </c>
      <c r="I248" s="8">
        <f>+H248*I240+H248</f>
        <v>16251.416207999999</v>
      </c>
      <c r="J248" s="8"/>
      <c r="K248" s="8"/>
      <c r="L248" s="95">
        <f>SUM(L244:L247)</f>
        <v>67800</v>
      </c>
      <c r="M248" s="95">
        <f>SUM(M244:M247)</f>
        <v>67800</v>
      </c>
      <c r="N248" s="95">
        <f>SUM(N244:N247)</f>
        <v>67800</v>
      </c>
      <c r="O248" s="95">
        <f>SUM(O244:O247)</f>
        <v>67800</v>
      </c>
      <c r="P248" s="95">
        <f>SUM(P244:P247)</f>
        <v>67800</v>
      </c>
      <c r="Q248" s="6"/>
    </row>
    <row r="249" spans="2:18" ht="12.75" hidden="1" customHeight="1" x14ac:dyDescent="0.25">
      <c r="B249" s="6"/>
      <c r="C249" s="120" t="s">
        <v>106</v>
      </c>
      <c r="D249" s="95">
        <v>10628.53</v>
      </c>
      <c r="E249" s="8">
        <f>+D249*E241+D249</f>
        <v>11478.812400000001</v>
      </c>
      <c r="F249" s="8"/>
      <c r="G249" s="8"/>
      <c r="H249" s="8">
        <f>+E249</f>
        <v>11478.812400000001</v>
      </c>
      <c r="I249" s="8">
        <f>+H249*I240+H249</f>
        <v>12397.117392</v>
      </c>
      <c r="J249" s="8"/>
      <c r="K249" s="8"/>
      <c r="L249" s="6"/>
      <c r="M249" s="6"/>
      <c r="N249" s="6"/>
      <c r="O249" s="6"/>
      <c r="P249" s="6"/>
      <c r="Q249" s="6"/>
    </row>
    <row r="250" spans="2:18" ht="12.75" hidden="1" customHeight="1" x14ac:dyDescent="0.25">
      <c r="B250" s="6"/>
      <c r="C250" s="120" t="s">
        <v>107</v>
      </c>
      <c r="D250" s="95">
        <v>10628.53</v>
      </c>
      <c r="E250" s="8">
        <f>+D250*E241+D250</f>
        <v>11478.812400000001</v>
      </c>
      <c r="F250" s="8"/>
      <c r="G250" s="8"/>
      <c r="H250" s="8">
        <f>+E250</f>
        <v>11478.812400000001</v>
      </c>
      <c r="I250" s="8">
        <f>+H250*I240+H250</f>
        <v>12397.117392</v>
      </c>
      <c r="J250" s="8"/>
      <c r="K250" s="8"/>
      <c r="L250" s="6"/>
      <c r="M250" s="6"/>
      <c r="N250" s="6"/>
      <c r="O250" s="6"/>
      <c r="P250" s="6"/>
      <c r="Q250" s="6"/>
    </row>
    <row r="251" spans="2:18" ht="12.75" hidden="1" customHeight="1" x14ac:dyDescent="0.25">
      <c r="B251" s="6"/>
      <c r="C251" s="120" t="s">
        <v>108</v>
      </c>
      <c r="D251" s="95">
        <v>10892.61</v>
      </c>
      <c r="E251" s="8">
        <f>+D251*E241+D251</f>
        <v>11764.0188</v>
      </c>
      <c r="F251" s="8"/>
      <c r="G251" s="8"/>
      <c r="H251" s="8">
        <f>+E251</f>
        <v>11764.0188</v>
      </c>
      <c r="I251" s="8">
        <f>+H251*I240+H251</f>
        <v>12705.140304</v>
      </c>
      <c r="J251" s="8"/>
      <c r="K251" s="8"/>
      <c r="L251" s="123" t="s">
        <v>0</v>
      </c>
      <c r="N251" s="6"/>
      <c r="O251" s="6"/>
      <c r="P251" s="6"/>
      <c r="Q251" s="6"/>
    </row>
    <row r="252" spans="2:18" ht="12.75" hidden="1" customHeight="1" x14ac:dyDescent="0.25">
      <c r="B252" s="6"/>
      <c r="C252" s="120" t="s">
        <v>109</v>
      </c>
      <c r="D252" s="95">
        <v>10628.53</v>
      </c>
      <c r="E252" s="8">
        <f>+D252*E241+D252</f>
        <v>11478.812400000001</v>
      </c>
      <c r="F252" s="8"/>
      <c r="G252" s="8"/>
      <c r="H252" s="8">
        <f>+H248</f>
        <v>15047.607599999999</v>
      </c>
      <c r="I252" s="8">
        <f>+H252*I240+H252</f>
        <v>16251.416207999999</v>
      </c>
      <c r="J252" s="8"/>
      <c r="K252" s="8"/>
      <c r="L252" s="123">
        <v>2006</v>
      </c>
      <c r="N252" s="6"/>
      <c r="O252" s="6"/>
      <c r="P252" s="6"/>
      <c r="Q252" s="6"/>
    </row>
    <row r="253" spans="2:18" ht="12.75" hidden="1" customHeight="1" x14ac:dyDescent="0.25">
      <c r="B253" s="6"/>
      <c r="C253" s="120" t="s">
        <v>110</v>
      </c>
      <c r="D253" s="95">
        <v>10498.1</v>
      </c>
      <c r="E253" s="8">
        <f>+D253*E241+D253</f>
        <v>11337.948</v>
      </c>
      <c r="F253" s="8"/>
      <c r="G253" s="8"/>
      <c r="H253" s="8">
        <f>+E253</f>
        <v>11337.948</v>
      </c>
      <c r="I253" s="8">
        <f>+H253*I240+H253</f>
        <v>12244.983840000001</v>
      </c>
      <c r="J253" s="8"/>
      <c r="K253" s="8"/>
      <c r="L253" s="8">
        <f>SUM(H242:K242)</f>
        <v>103999.99916799999</v>
      </c>
      <c r="M253" s="6"/>
      <c r="N253" s="6"/>
      <c r="O253" s="6"/>
      <c r="P253" s="6"/>
      <c r="Q253" s="6"/>
    </row>
    <row r="254" spans="2:18" ht="12.75" hidden="1" customHeight="1" x14ac:dyDescent="0.25">
      <c r="B254" s="6"/>
      <c r="C254" s="120" t="s">
        <v>111</v>
      </c>
      <c r="D254" s="95">
        <v>8488.31</v>
      </c>
      <c r="E254" s="8">
        <f>+D254*E241+D254</f>
        <v>9167.3747999999996</v>
      </c>
      <c r="F254" s="8"/>
      <c r="G254" s="8"/>
      <c r="H254" s="8">
        <f>+E254+1000</f>
        <v>10167.3748</v>
      </c>
      <c r="I254" s="8">
        <f>+H254*I240+H254</f>
        <v>10980.764783999999</v>
      </c>
      <c r="J254" s="8"/>
      <c r="K254" s="8"/>
      <c r="L254" s="8">
        <f t="shared" ref="L254:L271" si="24">SUM(H243:K243)</f>
        <v>72149.965056000001</v>
      </c>
      <c r="M254" s="6"/>
      <c r="N254" s="6"/>
      <c r="O254" s="6"/>
      <c r="P254" s="6"/>
      <c r="Q254" s="6"/>
    </row>
    <row r="255" spans="2:18" ht="12.75" hidden="1" customHeight="1" x14ac:dyDescent="0.25">
      <c r="B255" s="6"/>
      <c r="C255" s="120" t="s">
        <v>112</v>
      </c>
      <c r="D255" s="95">
        <v>8488.31</v>
      </c>
      <c r="E255" s="8">
        <f>+D255*E241+D255</f>
        <v>9167.3747999999996</v>
      </c>
      <c r="F255" s="8"/>
      <c r="G255" s="8"/>
      <c r="H255" s="8">
        <f>+H254</f>
        <v>10167.3748</v>
      </c>
      <c r="I255" s="8">
        <f>+H255*I240+H255</f>
        <v>10980.764783999999</v>
      </c>
      <c r="J255" s="8"/>
      <c r="K255" s="8"/>
      <c r="L255" s="8">
        <f t="shared" si="24"/>
        <v>72149.965056000001</v>
      </c>
      <c r="M255" s="6"/>
      <c r="N255" s="6"/>
      <c r="O255" s="6"/>
      <c r="P255" s="6"/>
      <c r="Q255" s="6"/>
    </row>
    <row r="256" spans="2:18" ht="12.75" hidden="1" customHeight="1" x14ac:dyDescent="0.25">
      <c r="B256" s="6"/>
      <c r="C256" s="120" t="s">
        <v>113</v>
      </c>
      <c r="D256" s="95">
        <v>8559.06</v>
      </c>
      <c r="E256" s="8">
        <f>+D256*E241+D256</f>
        <v>9243.7847999999994</v>
      </c>
      <c r="F256" s="8"/>
      <c r="G256" s="8"/>
      <c r="H256" s="8">
        <f>+E256</f>
        <v>9243.7847999999994</v>
      </c>
      <c r="I256" s="8">
        <f>+H256*I240+H256</f>
        <v>9983.2875839999997</v>
      </c>
      <c r="J256" s="8"/>
      <c r="K256" s="8"/>
      <c r="L256" s="8">
        <f t="shared" si="24"/>
        <v>72149.965056000001</v>
      </c>
      <c r="M256" s="6"/>
      <c r="N256" s="6"/>
      <c r="O256" s="6"/>
      <c r="P256" s="6"/>
      <c r="Q256" s="6"/>
    </row>
    <row r="257" spans="2:17" ht="12.75" hidden="1" customHeight="1" x14ac:dyDescent="0.25">
      <c r="B257" s="6"/>
      <c r="C257" s="120" t="s">
        <v>114</v>
      </c>
      <c r="D257" s="95">
        <v>4678.3599999999997</v>
      </c>
      <c r="E257" s="8">
        <f>+D257*E241+D257</f>
        <v>5052.6287999999995</v>
      </c>
      <c r="F257" s="8"/>
      <c r="G257" s="8"/>
      <c r="H257" s="8">
        <f>+E257</f>
        <v>5052.6287999999995</v>
      </c>
      <c r="I257" s="8">
        <f>+H257*I240+H257</f>
        <v>5456.8391039999997</v>
      </c>
      <c r="J257" s="8"/>
      <c r="K257" s="8"/>
      <c r="L257" s="8">
        <f t="shared" si="24"/>
        <v>37177.650432000002</v>
      </c>
      <c r="M257" s="6"/>
      <c r="N257" s="6"/>
      <c r="O257" s="6"/>
      <c r="P257" s="6"/>
      <c r="Q257" s="6"/>
    </row>
    <row r="258" spans="2:17" ht="12.75" hidden="1" customHeight="1" x14ac:dyDescent="0.25">
      <c r="B258" s="6"/>
      <c r="C258" s="120" t="s">
        <v>115</v>
      </c>
      <c r="D258" s="95">
        <v>3054.94</v>
      </c>
      <c r="E258" s="8">
        <f>+D258*E241+D258</f>
        <v>3299.3352</v>
      </c>
      <c r="F258" s="8"/>
      <c r="G258" s="8"/>
      <c r="H258" s="8">
        <f>+E258</f>
        <v>3299.3352</v>
      </c>
      <c r="I258" s="8">
        <f>+H258*I240+H258</f>
        <v>3563.2820160000001</v>
      </c>
      <c r="J258" s="8"/>
      <c r="K258" s="8"/>
      <c r="L258" s="8">
        <f t="shared" si="24"/>
        <v>31299.023807999998</v>
      </c>
      <c r="M258" s="6"/>
      <c r="N258" s="6"/>
      <c r="O258" s="6"/>
      <c r="P258" s="6"/>
      <c r="Q258" s="6"/>
    </row>
    <row r="259" spans="2:17" ht="12.75" hidden="1" customHeight="1" x14ac:dyDescent="0.25">
      <c r="B259" s="6"/>
      <c r="C259" s="120" t="s">
        <v>159</v>
      </c>
      <c r="D259" s="95">
        <v>10430.969999999999</v>
      </c>
      <c r="E259" s="8">
        <f>+D259*E241+D259</f>
        <v>11265.4476</v>
      </c>
      <c r="F259" s="8"/>
      <c r="G259" s="8"/>
      <c r="H259" s="8">
        <f>+E259</f>
        <v>11265.4476</v>
      </c>
      <c r="I259" s="8">
        <f>+H259*I240+H259</f>
        <v>12166.683407999999</v>
      </c>
      <c r="J259" s="8"/>
      <c r="K259" s="8"/>
      <c r="L259" s="8">
        <f t="shared" si="24"/>
        <v>31299.023807999998</v>
      </c>
      <c r="M259" s="6"/>
      <c r="N259" s="6"/>
      <c r="O259" s="6"/>
      <c r="P259" s="6"/>
      <c r="Q259" s="6"/>
    </row>
    <row r="260" spans="2:17" ht="12.75" hidden="1" customHeight="1" x14ac:dyDescent="0.25">
      <c r="B260" s="6"/>
      <c r="C260" s="120" t="s">
        <v>160</v>
      </c>
      <c r="D260" s="95">
        <v>10430.969999999999</v>
      </c>
      <c r="E260" s="8">
        <f>+D260*E241+D260</f>
        <v>11265.4476</v>
      </c>
      <c r="F260" s="8"/>
      <c r="G260" s="8"/>
      <c r="H260" s="8">
        <f>+E260</f>
        <v>11265.4476</v>
      </c>
      <c r="I260" s="8">
        <f>+H260*I240+H260</f>
        <v>12166.683407999999</v>
      </c>
      <c r="J260" s="8"/>
      <c r="K260" s="8"/>
      <c r="L260" s="8">
        <f t="shared" si="24"/>
        <v>23875.929792000003</v>
      </c>
      <c r="M260" s="6"/>
      <c r="N260" s="6"/>
      <c r="O260" s="6"/>
      <c r="P260" s="6"/>
      <c r="Q260" s="6"/>
    </row>
    <row r="261" spans="2:17" ht="12.75" hidden="1" customHeight="1" x14ac:dyDescent="0.25">
      <c r="B261" s="6"/>
      <c r="D261" s="95"/>
      <c r="E261" s="8"/>
      <c r="F261" s="8"/>
      <c r="G261" s="8"/>
      <c r="H261" s="8">
        <f>SUM(H242:H260)</f>
        <v>237034.946</v>
      </c>
      <c r="I261" s="8">
        <f>SUM(I242:I260)</f>
        <v>255997.74168000004</v>
      </c>
      <c r="J261" s="8">
        <f>SUM(J242:J260)</f>
        <v>86565.181600000011</v>
      </c>
      <c r="K261" s="8">
        <f>SUM(K242:K260)</f>
        <v>93490.396128000022</v>
      </c>
      <c r="L261" s="8">
        <f t="shared" si="24"/>
        <v>23875.929792000003</v>
      </c>
      <c r="M261" s="6"/>
      <c r="N261" s="6"/>
      <c r="O261" s="6"/>
      <c r="P261" s="6"/>
      <c r="Q261" s="6"/>
    </row>
    <row r="262" spans="2:17" ht="12.75" hidden="1" customHeight="1" x14ac:dyDescent="0.25">
      <c r="B262" s="6"/>
      <c r="D262" s="95"/>
      <c r="E262" s="8"/>
      <c r="F262" s="8"/>
      <c r="G262" s="8"/>
      <c r="H262" s="8"/>
      <c r="I262" s="8">
        <f>+I261-H261</f>
        <v>18962.795680000039</v>
      </c>
      <c r="J262" s="8"/>
      <c r="K262" s="8">
        <f>+K261-J261</f>
        <v>6925.2145280000113</v>
      </c>
      <c r="L262" s="8">
        <f t="shared" si="24"/>
        <v>24469.159103999998</v>
      </c>
      <c r="M262" s="6"/>
      <c r="N262" s="6"/>
      <c r="O262" s="6"/>
      <c r="P262" s="6"/>
      <c r="Q262" s="6"/>
    </row>
    <row r="263" spans="2:17" ht="12.75" hidden="1" customHeight="1" x14ac:dyDescent="0.25">
      <c r="B263" s="6"/>
      <c r="D263" s="95"/>
      <c r="E263" s="8"/>
      <c r="F263" s="8"/>
      <c r="G263" s="8"/>
      <c r="H263" s="8"/>
      <c r="I263" s="8"/>
      <c r="J263" s="8">
        <f>+I262+K262</f>
        <v>25888.010208000051</v>
      </c>
      <c r="K263" s="8"/>
      <c r="L263" s="8">
        <f t="shared" si="24"/>
        <v>31299.023807999998</v>
      </c>
      <c r="M263" s="6"/>
      <c r="N263" s="6"/>
      <c r="O263" s="6"/>
      <c r="P263" s="6"/>
      <c r="Q263" s="6"/>
    </row>
    <row r="264" spans="2:17" ht="12.75" hidden="1" customHeight="1" x14ac:dyDescent="0.25">
      <c r="B264" s="6"/>
      <c r="D264" s="95"/>
      <c r="E264" s="8"/>
      <c r="F264" s="8"/>
      <c r="G264" s="8"/>
      <c r="H264" s="8"/>
      <c r="I264" s="8"/>
      <c r="J264" s="8"/>
      <c r="K264" s="8"/>
      <c r="L264" s="8">
        <f t="shared" si="24"/>
        <v>23582.931840000001</v>
      </c>
      <c r="M264" s="6"/>
      <c r="N264" s="6"/>
      <c r="O264" s="6"/>
      <c r="P264" s="6"/>
      <c r="Q264" s="6"/>
    </row>
    <row r="265" spans="2:17" ht="12.75" hidden="1" customHeight="1" x14ac:dyDescent="0.25">
      <c r="B265" s="6"/>
      <c r="C265" s="6"/>
      <c r="D265" s="95"/>
      <c r="E265" s="8"/>
      <c r="F265" s="8"/>
      <c r="G265" s="8"/>
      <c r="H265" s="8"/>
      <c r="I265" s="8"/>
      <c r="J265" s="8"/>
      <c r="K265" s="8"/>
      <c r="L265" s="8">
        <f t="shared" si="24"/>
        <v>21148.139583999997</v>
      </c>
      <c r="M265" s="6"/>
      <c r="N265" s="6"/>
      <c r="O265" s="6"/>
      <c r="P265" s="6"/>
      <c r="Q265" s="6"/>
    </row>
    <row r="266" spans="2:17" ht="12.75" hidden="1" customHeight="1" x14ac:dyDescent="0.25">
      <c r="B266" s="6"/>
      <c r="C266" s="6"/>
      <c r="D266" s="95"/>
      <c r="E266" s="8"/>
      <c r="F266" s="8"/>
      <c r="G266" s="8"/>
      <c r="H266" s="8"/>
      <c r="I266" s="8"/>
      <c r="J266" s="8"/>
      <c r="K266" s="8"/>
      <c r="L266" s="8">
        <f t="shared" si="24"/>
        <v>21148.139583999997</v>
      </c>
      <c r="M266" s="6"/>
      <c r="N266" s="6"/>
      <c r="O266" s="6"/>
      <c r="P266" s="6"/>
      <c r="Q266" s="6"/>
    </row>
    <row r="267" spans="2:17" ht="12.75" hidden="1" customHeight="1" x14ac:dyDescent="0.25">
      <c r="B267" s="6"/>
      <c r="C267" s="6"/>
      <c r="D267" s="95"/>
      <c r="E267" s="8"/>
      <c r="F267" s="8"/>
      <c r="G267" s="8"/>
      <c r="H267" s="8"/>
      <c r="I267" s="8"/>
      <c r="J267" s="8"/>
      <c r="K267" s="8"/>
      <c r="L267" s="8">
        <f t="shared" si="24"/>
        <v>19227.072383999999</v>
      </c>
      <c r="M267" s="6"/>
      <c r="N267" s="6"/>
      <c r="O267" s="6"/>
      <c r="P267" s="6"/>
      <c r="Q267" s="6"/>
    </row>
    <row r="268" spans="2:17" ht="12.75" hidden="1" customHeight="1" x14ac:dyDescent="0.25">
      <c r="B268" s="6"/>
      <c r="C268" s="6"/>
      <c r="D268" s="95"/>
      <c r="E268" s="8"/>
      <c r="F268" s="8"/>
      <c r="G268" s="8"/>
      <c r="H268" s="8"/>
      <c r="I268" s="8"/>
      <c r="J268" s="8"/>
      <c r="K268" s="8"/>
      <c r="L268" s="8">
        <f t="shared" si="24"/>
        <v>10509.467903999999</v>
      </c>
      <c r="M268" s="6"/>
      <c r="N268" s="6"/>
      <c r="O268" s="6"/>
      <c r="P268" s="6"/>
      <c r="Q268" s="6"/>
    </row>
    <row r="269" spans="2:17" ht="12.75" hidden="1" customHeight="1" x14ac:dyDescent="0.25">
      <c r="B269" s="6"/>
      <c r="C269" s="6"/>
      <c r="D269" s="95"/>
      <c r="E269" s="8"/>
      <c r="F269" s="8"/>
      <c r="G269" s="8"/>
      <c r="H269" s="8"/>
      <c r="I269" s="8"/>
      <c r="J269" s="8"/>
      <c r="K269" s="8"/>
      <c r="L269" s="8">
        <f t="shared" si="24"/>
        <v>6862.6172160000006</v>
      </c>
      <c r="M269" s="6"/>
      <c r="N269" s="6"/>
      <c r="O269" s="6"/>
      <c r="P269" s="6"/>
      <c r="Q269" s="6"/>
    </row>
    <row r="270" spans="2:17" ht="12.75" hidden="1" customHeight="1" x14ac:dyDescent="0.25">
      <c r="B270" s="6"/>
      <c r="C270" s="6"/>
      <c r="D270" s="95"/>
      <c r="E270" s="6"/>
      <c r="F270" s="6"/>
      <c r="G270" s="6"/>
      <c r="H270" s="6"/>
      <c r="I270" s="6"/>
      <c r="J270" s="6"/>
      <c r="K270" s="6"/>
      <c r="L270" s="8">
        <f t="shared" si="24"/>
        <v>23432.131007999997</v>
      </c>
      <c r="M270" s="6"/>
      <c r="N270" s="6"/>
      <c r="O270" s="6"/>
      <c r="P270" s="6"/>
      <c r="Q270" s="6"/>
    </row>
    <row r="271" spans="2:17" ht="12.75" hidden="1" customHeight="1" x14ac:dyDescent="0.25">
      <c r="B271" s="6"/>
      <c r="C271" s="6"/>
      <c r="D271" s="95"/>
      <c r="E271" s="6"/>
      <c r="F271" s="6"/>
      <c r="G271" s="6"/>
      <c r="H271" s="6"/>
      <c r="I271" s="6"/>
      <c r="J271" s="6"/>
      <c r="K271" s="6"/>
      <c r="L271" s="8">
        <f t="shared" si="24"/>
        <v>23432.131007999997</v>
      </c>
      <c r="M271" s="6"/>
      <c r="N271" s="6"/>
      <c r="O271" s="6"/>
      <c r="P271" s="6"/>
      <c r="Q271" s="6"/>
    </row>
    <row r="272" spans="2:17" ht="12.75" hidden="1" customHeight="1" x14ac:dyDescent="0.25">
      <c r="B272" s="6"/>
      <c r="C272" s="6"/>
      <c r="D272" s="95"/>
      <c r="E272" s="6"/>
      <c r="F272" s="6"/>
      <c r="G272" s="6"/>
      <c r="H272" s="6"/>
      <c r="I272" s="6"/>
      <c r="J272" s="6"/>
      <c r="K272" s="6"/>
      <c r="L272" s="8">
        <f>SUM(L253:L271)</f>
        <v>673088.26540799974</v>
      </c>
      <c r="M272" s="6"/>
      <c r="N272" s="6"/>
      <c r="O272" s="6"/>
      <c r="P272" s="6"/>
      <c r="Q272" s="6"/>
    </row>
    <row r="273" spans="2:17" ht="12.75" hidden="1" customHeight="1" x14ac:dyDescent="0.25">
      <c r="B273" s="6"/>
      <c r="C273" s="6"/>
      <c r="D273" s="95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</row>
    <row r="274" spans="2:17" ht="12.75" hidden="1" customHeight="1" x14ac:dyDescent="0.25">
      <c r="B274" s="6"/>
      <c r="C274" s="6"/>
      <c r="D274" s="95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</row>
    <row r="275" spans="2:17" ht="12.75" hidden="1" customHeight="1" x14ac:dyDescent="0.25">
      <c r="B275" s="6"/>
      <c r="C275" s="6"/>
      <c r="D275" s="95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</row>
    <row r="276" spans="2:17" x14ac:dyDescent="0.25">
      <c r="B276" s="6"/>
      <c r="C276" s="6"/>
      <c r="D276" s="95"/>
      <c r="E276" s="129" t="s">
        <v>154</v>
      </c>
      <c r="F276" s="6"/>
      <c r="G276" s="6"/>
      <c r="H276" s="6"/>
      <c r="I276" s="129" t="s">
        <v>156</v>
      </c>
      <c r="J276" s="6"/>
      <c r="K276" s="6"/>
      <c r="L276" s="6"/>
      <c r="M276" s="6"/>
      <c r="N276" s="6"/>
      <c r="O276" s="6"/>
      <c r="P276" s="6"/>
      <c r="Q276" s="6"/>
    </row>
    <row r="277" spans="2:17" x14ac:dyDescent="0.25">
      <c r="B277" s="6"/>
      <c r="C277" s="6"/>
      <c r="D277" s="95"/>
      <c r="E277" s="6" t="s">
        <v>117</v>
      </c>
      <c r="F277" s="130" t="s">
        <v>155</v>
      </c>
      <c r="G277" s="129" t="s">
        <v>156</v>
      </c>
      <c r="H277" s="6"/>
      <c r="I277" s="6" t="s">
        <v>157</v>
      </c>
      <c r="J277" s="6"/>
      <c r="K277" s="6"/>
      <c r="L277" s="6"/>
      <c r="M277" s="6"/>
      <c r="N277" s="6"/>
      <c r="O277" s="6"/>
      <c r="P277" s="6"/>
      <c r="Q277" s="6"/>
    </row>
    <row r="278" spans="2:17" x14ac:dyDescent="0.25">
      <c r="B278" s="6"/>
      <c r="C278" s="6"/>
      <c r="D278" s="131" t="s">
        <v>153</v>
      </c>
      <c r="E278" s="132">
        <v>0.08</v>
      </c>
      <c r="G278" s="133">
        <v>0.08</v>
      </c>
      <c r="H278" s="9" t="s">
        <v>118</v>
      </c>
      <c r="I278" s="133">
        <v>0.08</v>
      </c>
      <c r="J278" s="9" t="s">
        <v>119</v>
      </c>
      <c r="K278" s="9" t="s">
        <v>120</v>
      </c>
      <c r="L278" s="6"/>
      <c r="M278" s="6"/>
      <c r="N278" s="6"/>
      <c r="O278" s="6"/>
      <c r="P278" s="6"/>
      <c r="Q278" s="6"/>
    </row>
    <row r="279" spans="2:17" x14ac:dyDescent="0.25">
      <c r="B279" s="6"/>
      <c r="C279" s="120" t="s">
        <v>125</v>
      </c>
      <c r="D279" s="8">
        <v>15766.87</v>
      </c>
      <c r="E279" s="8">
        <f>+D279*8%+D279</f>
        <v>17028.2196</v>
      </c>
      <c r="F279" s="8">
        <f>+E279</f>
        <v>17028.2196</v>
      </c>
      <c r="G279" s="8">
        <f>+F279*G278+F279</f>
        <v>18390.477168000001</v>
      </c>
      <c r="H279" s="8">
        <f>32594.26*E278+32594.26</f>
        <v>35201.800799999997</v>
      </c>
      <c r="I279" s="8">
        <f>+H279*I278+H279</f>
        <v>38017.944863999997</v>
      </c>
      <c r="J279" s="8">
        <v>14000</v>
      </c>
      <c r="K279" s="8">
        <v>3500</v>
      </c>
      <c r="L279" s="6"/>
      <c r="M279" s="6"/>
      <c r="N279" s="6"/>
      <c r="O279" s="6"/>
      <c r="P279" s="6"/>
      <c r="Q279" s="6"/>
    </row>
    <row r="280" spans="2:17" x14ac:dyDescent="0.25">
      <c r="B280" s="6"/>
      <c r="C280" s="120" t="s">
        <v>126</v>
      </c>
      <c r="D280" s="8">
        <v>16857.28</v>
      </c>
      <c r="E280" s="8">
        <f>+D280*E278+D280</f>
        <v>18205.862399999998</v>
      </c>
      <c r="F280" s="8">
        <f>+E280*F278+E280</f>
        <v>18205.862399999998</v>
      </c>
      <c r="G280" s="8">
        <f>+F280*G278+F280</f>
        <v>19662.331391999996</v>
      </c>
      <c r="H280" s="8">
        <f>15260.76*E278+15260.76</f>
        <v>16481.620800000001</v>
      </c>
      <c r="I280" s="8">
        <f>+H280*I278+H280</f>
        <v>17800.150464000002</v>
      </c>
      <c r="J280" s="8"/>
      <c r="K280" s="8"/>
      <c r="L280" s="6"/>
      <c r="M280" s="6"/>
      <c r="N280" s="6"/>
      <c r="O280" s="6"/>
      <c r="P280" s="6"/>
      <c r="Q280" s="6"/>
    </row>
    <row r="281" spans="2:17" x14ac:dyDescent="0.25">
      <c r="B281" s="6"/>
      <c r="C281" s="120" t="s">
        <v>127</v>
      </c>
      <c r="D281" s="8">
        <v>16832.87</v>
      </c>
      <c r="E281" s="8">
        <f>+D281*E278+D281</f>
        <v>18179.499599999999</v>
      </c>
      <c r="F281" s="8">
        <f>+F280</f>
        <v>18205.862399999998</v>
      </c>
      <c r="G281" s="8">
        <f>+F281*G278+F281</f>
        <v>19662.331391999996</v>
      </c>
      <c r="H281" s="8">
        <f>15260.76*E278+15260.76</f>
        <v>16481.620800000001</v>
      </c>
      <c r="I281" s="8">
        <f>+H281*I278+H281</f>
        <v>17800.150464000002</v>
      </c>
      <c r="J281" s="8"/>
      <c r="K281" s="8"/>
      <c r="L281" s="6"/>
      <c r="M281" s="6"/>
      <c r="N281" s="6"/>
      <c r="O281" s="6"/>
      <c r="P281" s="6"/>
      <c r="Q281" s="6"/>
    </row>
    <row r="282" spans="2:17" x14ac:dyDescent="0.25">
      <c r="B282" s="6"/>
      <c r="C282" s="120" t="s">
        <v>128</v>
      </c>
      <c r="D282" s="8">
        <v>12708.64</v>
      </c>
      <c r="E282" s="8">
        <f>+D282*E278+D282</f>
        <v>13725.331199999999</v>
      </c>
      <c r="F282" s="8">
        <f>+E282*F278+E282</f>
        <v>13725.331199999999</v>
      </c>
      <c r="G282" s="8">
        <f>+F282*G278+F282</f>
        <v>14823.357695999999</v>
      </c>
      <c r="H282" s="8">
        <f>3841.24*E278+3841.24</f>
        <v>4148.5392000000002</v>
      </c>
      <c r="I282" s="8">
        <f>+H282*I278+H282</f>
        <v>4480.4223360000005</v>
      </c>
      <c r="J282" s="8"/>
      <c r="K282" s="8"/>
      <c r="L282" s="6"/>
      <c r="M282" s="6"/>
      <c r="N282" s="6"/>
      <c r="O282" s="6"/>
      <c r="P282" s="6"/>
      <c r="Q282" s="6"/>
    </row>
    <row r="283" spans="2:17" x14ac:dyDescent="0.25">
      <c r="B283" s="6"/>
      <c r="C283" s="120" t="s">
        <v>150</v>
      </c>
      <c r="D283" s="8">
        <v>16832.87</v>
      </c>
      <c r="E283" s="8">
        <f>+D283*E278+D283</f>
        <v>18179.499599999999</v>
      </c>
      <c r="F283" s="8">
        <f>+F281</f>
        <v>18205.862399999998</v>
      </c>
      <c r="G283" s="8">
        <f>+F283*G278+F283</f>
        <v>19662.331391999996</v>
      </c>
      <c r="H283" s="8">
        <v>11755.66</v>
      </c>
      <c r="I283" s="8">
        <f>+H283*I278+H283</f>
        <v>12696.112799999999</v>
      </c>
      <c r="J283" s="8"/>
      <c r="K283" s="8"/>
      <c r="L283" s="6"/>
      <c r="M283" s="6"/>
      <c r="N283" s="6"/>
      <c r="O283" s="6"/>
      <c r="P283" s="6"/>
      <c r="Q283" s="6"/>
    </row>
    <row r="284" spans="2:17" x14ac:dyDescent="0.25">
      <c r="B284" s="6"/>
      <c r="C284" s="120" t="s">
        <v>129</v>
      </c>
      <c r="D284" s="8">
        <v>13932.97</v>
      </c>
      <c r="E284" s="8">
        <f>+D284*E278+D284</f>
        <v>15047.607599999999</v>
      </c>
      <c r="F284" s="8">
        <f>+E284*F278+E284</f>
        <v>15047.607599999999</v>
      </c>
      <c r="G284" s="8">
        <f>+F284*G278+F284</f>
        <v>16251.416207999999</v>
      </c>
      <c r="H284" s="8"/>
      <c r="I284" s="8"/>
      <c r="J284" s="8"/>
      <c r="K284" s="8"/>
      <c r="L284" s="6"/>
      <c r="M284" s="6"/>
      <c r="N284" s="6"/>
      <c r="O284" s="6"/>
      <c r="P284" s="6"/>
      <c r="Q284" s="6"/>
    </row>
    <row r="285" spans="2:17" ht="12.75" hidden="1" customHeight="1" x14ac:dyDescent="0.25">
      <c r="B285" s="6"/>
      <c r="C285" s="120" t="s">
        <v>130</v>
      </c>
      <c r="D285" s="8">
        <v>11421.29</v>
      </c>
      <c r="E285" s="8">
        <f>+D285*E278+D285</f>
        <v>12334.993200000001</v>
      </c>
      <c r="F285" s="8">
        <f>+E285*F278+E285</f>
        <v>12334.993200000001</v>
      </c>
      <c r="G285" s="8">
        <f>+F285*G278+F285</f>
        <v>13321.792656000001</v>
      </c>
      <c r="H285" s="8"/>
      <c r="I285" s="8"/>
      <c r="J285" s="8"/>
      <c r="K285" s="8"/>
      <c r="L285" s="6"/>
      <c r="M285" s="6"/>
      <c r="N285" s="6"/>
      <c r="O285" s="6"/>
      <c r="P285" s="6"/>
      <c r="Q285" s="6"/>
    </row>
    <row r="286" spans="2:17" ht="12.75" hidden="1" customHeight="1" x14ac:dyDescent="0.25">
      <c r="B286" s="6"/>
      <c r="C286" s="120" t="s">
        <v>131</v>
      </c>
      <c r="D286" s="8">
        <v>10892.61</v>
      </c>
      <c r="E286" s="8">
        <f>+D286*E278+D286</f>
        <v>11764.0188</v>
      </c>
      <c r="F286" s="8">
        <f>+E286*F278+E286</f>
        <v>11764.0188</v>
      </c>
      <c r="G286" s="8">
        <f>+F286*G278+F286</f>
        <v>12705.140304</v>
      </c>
      <c r="H286" s="8"/>
      <c r="I286" s="8"/>
      <c r="J286" s="8"/>
      <c r="K286" s="8"/>
      <c r="L286" s="6"/>
      <c r="M286" s="6"/>
      <c r="N286" s="6"/>
      <c r="O286" s="6"/>
      <c r="P286" s="6"/>
      <c r="Q286" s="6"/>
    </row>
    <row r="287" spans="2:17" ht="12.75" hidden="1" customHeight="1" x14ac:dyDescent="0.25">
      <c r="B287" s="6"/>
      <c r="C287" s="120" t="s">
        <v>132</v>
      </c>
      <c r="D287" s="8">
        <v>10628.53</v>
      </c>
      <c r="E287" s="8">
        <f>+D287*E278+D287</f>
        <v>11478.812400000001</v>
      </c>
      <c r="F287" s="8">
        <f>+E287*F278+E287</f>
        <v>11478.812400000001</v>
      </c>
      <c r="G287" s="8">
        <f>+F287*G278+F287</f>
        <v>12397.117392</v>
      </c>
      <c r="H287" s="8"/>
      <c r="I287" s="8"/>
      <c r="J287" s="8"/>
      <c r="K287" s="8"/>
      <c r="L287" s="6"/>
      <c r="M287" s="6"/>
      <c r="N287" s="6"/>
      <c r="O287" s="6"/>
      <c r="P287" s="6"/>
      <c r="Q287" s="6"/>
    </row>
    <row r="288" spans="2:17" ht="12.75" hidden="1" customHeight="1" x14ac:dyDescent="0.25">
      <c r="B288" s="6"/>
      <c r="C288" s="120" t="s">
        <v>133</v>
      </c>
      <c r="D288" s="8">
        <v>10628.53</v>
      </c>
      <c r="E288" s="8">
        <f>+D288*E278+D288</f>
        <v>11478.812400000001</v>
      </c>
      <c r="F288" s="8">
        <f>+E288*F278+E288</f>
        <v>11478.812400000001</v>
      </c>
      <c r="G288" s="8">
        <f>+F288*G278+F288</f>
        <v>12397.117392</v>
      </c>
      <c r="H288" s="8"/>
      <c r="I288" s="8"/>
      <c r="J288" s="8"/>
      <c r="K288" s="8"/>
      <c r="L288" s="6"/>
      <c r="M288" s="6"/>
      <c r="N288" s="6"/>
      <c r="O288" s="6"/>
      <c r="P288" s="6"/>
      <c r="Q288" s="6"/>
    </row>
    <row r="289" spans="2:19" ht="12.75" hidden="1" customHeight="1" x14ac:dyDescent="0.25">
      <c r="B289" s="6"/>
      <c r="C289" s="120" t="s">
        <v>134</v>
      </c>
      <c r="D289" s="8">
        <v>8488.31</v>
      </c>
      <c r="E289" s="8">
        <f>+D289*E278+D289</f>
        <v>9167.3747999999996</v>
      </c>
      <c r="F289" s="8">
        <f>+E289*F278+E289</f>
        <v>9167.3747999999996</v>
      </c>
      <c r="G289" s="8">
        <f>+F289*G278+F289</f>
        <v>9900.7647839999991</v>
      </c>
      <c r="H289" s="8"/>
      <c r="I289" s="8"/>
      <c r="J289" s="8"/>
      <c r="K289" s="8"/>
      <c r="L289" s="9" t="s">
        <v>98</v>
      </c>
      <c r="M289" s="9" t="s">
        <v>121</v>
      </c>
      <c r="N289" s="9" t="s">
        <v>122</v>
      </c>
      <c r="O289" s="9" t="s">
        <v>123</v>
      </c>
      <c r="P289" s="9" t="s">
        <v>124</v>
      </c>
      <c r="Q289" s="9" t="s">
        <v>144</v>
      </c>
      <c r="R289" s="9" t="s">
        <v>145</v>
      </c>
    </row>
    <row r="290" spans="2:19" ht="12.75" hidden="1" customHeight="1" x14ac:dyDescent="0.25">
      <c r="B290" s="6"/>
      <c r="C290" s="120" t="s">
        <v>135</v>
      </c>
      <c r="D290" s="8">
        <v>8488.31</v>
      </c>
      <c r="E290" s="8">
        <f>+D290*E278+D290</f>
        <v>9167.3747999999996</v>
      </c>
      <c r="F290" s="8">
        <f>+E290*F278+E290</f>
        <v>9167.3747999999996</v>
      </c>
      <c r="G290" s="8">
        <f>+F290*G278+F290</f>
        <v>9900.7647839999991</v>
      </c>
      <c r="H290" s="8"/>
      <c r="I290" s="8"/>
      <c r="J290" s="8"/>
      <c r="K290" s="8"/>
      <c r="L290" s="8"/>
      <c r="M290" s="8"/>
      <c r="N290" s="8"/>
      <c r="O290" s="8">
        <v>35000</v>
      </c>
      <c r="P290" s="8">
        <v>60</v>
      </c>
      <c r="Q290" s="8">
        <v>100</v>
      </c>
      <c r="R290" s="8">
        <v>14556.18</v>
      </c>
    </row>
    <row r="291" spans="2:19" ht="12.75" hidden="1" customHeight="1" x14ac:dyDescent="0.25">
      <c r="B291" s="6"/>
      <c r="C291" s="120" t="s">
        <v>136</v>
      </c>
      <c r="D291" s="8">
        <v>10628.53</v>
      </c>
      <c r="E291" s="8">
        <f>+D291*E278+D291</f>
        <v>11478.812400000001</v>
      </c>
      <c r="F291" s="8">
        <f>+E291*F278+E291</f>
        <v>11478.812400000001</v>
      </c>
      <c r="G291" s="8">
        <f>+F291*G278+F291</f>
        <v>12397.117392</v>
      </c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</row>
    <row r="292" spans="2:19" ht="12.75" hidden="1" customHeight="1" x14ac:dyDescent="0.25">
      <c r="B292" s="6"/>
      <c r="C292" s="120" t="s">
        <v>137</v>
      </c>
      <c r="D292" s="8">
        <v>8559.06</v>
      </c>
      <c r="E292" s="8">
        <f>+D292*E278+D292</f>
        <v>9243.7847999999994</v>
      </c>
      <c r="F292" s="8">
        <f>+E292*F278+E292</f>
        <v>9243.7847999999994</v>
      </c>
      <c r="G292" s="8">
        <f>+F292*G278+F292</f>
        <v>9983.2875839999997</v>
      </c>
      <c r="H292" s="8"/>
      <c r="I292" s="8"/>
      <c r="J292" s="8"/>
      <c r="K292" s="8"/>
      <c r="L292" s="8"/>
      <c r="M292" s="8">
        <f>SUM(M3:M18)</f>
        <v>699180.43714227004</v>
      </c>
      <c r="N292" s="8"/>
      <c r="O292" s="8"/>
      <c r="P292" s="8"/>
      <c r="Q292" s="8"/>
      <c r="R292" s="8"/>
    </row>
    <row r="293" spans="2:19" ht="12.75" hidden="1" customHeight="1" x14ac:dyDescent="0.25">
      <c r="B293" s="6"/>
      <c r="C293" s="120" t="s">
        <v>138</v>
      </c>
      <c r="D293" s="8">
        <v>10498.1</v>
      </c>
      <c r="E293" s="8">
        <f>+D293*E278+D293</f>
        <v>11337.948</v>
      </c>
      <c r="F293" s="8">
        <f>+E293*F278+E293</f>
        <v>11337.948</v>
      </c>
      <c r="G293" s="8">
        <f>+F293*G278+F293</f>
        <v>12244.983840000001</v>
      </c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</row>
    <row r="294" spans="2:19" ht="12.75" hidden="1" customHeight="1" x14ac:dyDescent="0.25">
      <c r="B294" s="6"/>
      <c r="C294" s="120" t="s">
        <v>139</v>
      </c>
      <c r="D294" s="8">
        <v>4678.3599999999997</v>
      </c>
      <c r="E294" s="8">
        <f>+D294*E278+D294</f>
        <v>5052.6287999999995</v>
      </c>
      <c r="F294" s="8">
        <f>+E294*F278+E294</f>
        <v>5052.6287999999995</v>
      </c>
      <c r="G294" s="8">
        <f>+F294*G278+F294</f>
        <v>5456.8391039999997</v>
      </c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2:19" ht="12.75" hidden="1" customHeight="1" x14ac:dyDescent="0.25">
      <c r="B295" s="6"/>
      <c r="C295" s="120" t="s">
        <v>140</v>
      </c>
      <c r="D295" s="8">
        <v>3054.94</v>
      </c>
      <c r="E295" s="8">
        <f>+D295*E278+D295</f>
        <v>3299.3352</v>
      </c>
      <c r="F295" s="8">
        <f>+E295*F278+E295</f>
        <v>3299.3352</v>
      </c>
      <c r="G295" s="8">
        <f>+F295*G278+F295</f>
        <v>3563.2820160000001</v>
      </c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2:19" ht="12.75" hidden="1" customHeight="1" x14ac:dyDescent="0.25">
      <c r="B296" s="6"/>
      <c r="C296" s="120" t="s">
        <v>151</v>
      </c>
      <c r="D296" s="8">
        <v>10430.969999999999</v>
      </c>
      <c r="E296" s="8">
        <f>+D296</f>
        <v>10430.969999999999</v>
      </c>
      <c r="F296" s="8">
        <f>+E296</f>
        <v>10430.969999999999</v>
      </c>
      <c r="G296" s="8">
        <f>+F296*G278+F296</f>
        <v>11265.4476</v>
      </c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2:19" ht="12.75" hidden="1" customHeight="1" x14ac:dyDescent="0.25">
      <c r="B297" s="6"/>
      <c r="C297" s="120" t="s">
        <v>152</v>
      </c>
      <c r="D297" s="8">
        <v>10430.969999999999</v>
      </c>
      <c r="E297" s="8">
        <f>+D297</f>
        <v>10430.969999999999</v>
      </c>
      <c r="F297" s="8">
        <f>+E297</f>
        <v>10430.969999999999</v>
      </c>
      <c r="G297" s="8">
        <f>+F297*G278+F297</f>
        <v>11265.4476</v>
      </c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2:19" ht="12.75" hidden="1" customHeight="1" x14ac:dyDescent="0.25">
      <c r="B298" s="6"/>
      <c r="C298" s="120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S298" s="9" t="s">
        <v>146</v>
      </c>
    </row>
    <row r="299" spans="2:19" ht="12.75" hidden="1" customHeight="1" x14ac:dyDescent="0.25">
      <c r="B299" s="6"/>
      <c r="C299" s="120"/>
      <c r="D299" s="8"/>
      <c r="E299" s="6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S299" s="8">
        <v>32000</v>
      </c>
    </row>
    <row r="300" spans="2:19" ht="12.75" hidden="1" customHeight="1" x14ac:dyDescent="0.25">
      <c r="B300" s="6"/>
      <c r="C300" s="120"/>
      <c r="D300" s="95">
        <f>SUM(D279:D299)</f>
        <v>211760.01</v>
      </c>
      <c r="E300" s="8">
        <f>SUM(E279:E299)</f>
        <v>227031.85559999998</v>
      </c>
      <c r="F300" s="8">
        <f>SUM(F279:F297)</f>
        <v>227084.58119999999</v>
      </c>
      <c r="G300" s="8">
        <f>SUM(G279:G297)</f>
        <v>245251.34769599995</v>
      </c>
      <c r="H300" s="8">
        <f>SUM(H279:H299)</f>
        <v>84069.241600000008</v>
      </c>
      <c r="I300" s="8">
        <f>SUM(I279:I298)</f>
        <v>90794.780928000007</v>
      </c>
      <c r="J300" s="8"/>
      <c r="K300" s="8"/>
      <c r="L300" s="8"/>
      <c r="M300" s="8"/>
      <c r="N300" s="8"/>
      <c r="O300" s="8"/>
      <c r="P300" s="8"/>
      <c r="Q300" s="8"/>
      <c r="S300" s="8"/>
    </row>
    <row r="301" spans="2:19" ht="12.75" hidden="1" customHeight="1" x14ac:dyDescent="0.25">
      <c r="B301" s="6"/>
      <c r="C301" s="120"/>
      <c r="D301" s="95"/>
      <c r="E301" s="6" t="s">
        <v>97</v>
      </c>
      <c r="F301" s="6" t="s">
        <v>97</v>
      </c>
      <c r="G301" s="8"/>
      <c r="H301" s="6" t="s">
        <v>177</v>
      </c>
      <c r="I301" s="6" t="s">
        <v>177</v>
      </c>
      <c r="J301" s="6"/>
      <c r="K301" s="6" t="s">
        <v>98</v>
      </c>
      <c r="L301" s="8"/>
      <c r="M301" s="8"/>
      <c r="N301" s="8"/>
      <c r="O301" s="8"/>
      <c r="P301" s="8"/>
      <c r="Q301" s="8"/>
    </row>
    <row r="302" spans="2:19" ht="12.75" hidden="1" customHeight="1" x14ac:dyDescent="0.25">
      <c r="B302" s="6"/>
      <c r="C302" s="6"/>
      <c r="D302" s="95"/>
      <c r="E302" s="124">
        <v>2007</v>
      </c>
      <c r="F302" s="6"/>
      <c r="G302" s="6"/>
      <c r="H302" s="6"/>
      <c r="I302" s="6"/>
      <c r="J302" s="6"/>
      <c r="K302" s="6"/>
      <c r="L302" s="8"/>
      <c r="M302" s="8"/>
      <c r="N302" s="8"/>
      <c r="O302" s="8"/>
      <c r="P302" s="8"/>
      <c r="Q302" s="8"/>
    </row>
    <row r="303" spans="2:19" ht="13.5" hidden="1" customHeight="1" thickBot="1" x14ac:dyDescent="0.3">
      <c r="B303" s="6"/>
      <c r="C303" s="6"/>
      <c r="D303" s="95" t="s">
        <v>0</v>
      </c>
      <c r="E303" s="119" t="s">
        <v>17</v>
      </c>
      <c r="F303" s="119" t="s">
        <v>18</v>
      </c>
      <c r="G303" s="119" t="s">
        <v>19</v>
      </c>
      <c r="H303" s="119" t="s">
        <v>20</v>
      </c>
      <c r="I303" s="119" t="s">
        <v>21</v>
      </c>
      <c r="J303" s="119" t="s">
        <v>22</v>
      </c>
      <c r="K303" s="119" t="s">
        <v>23</v>
      </c>
      <c r="L303" s="8"/>
      <c r="M303" s="8"/>
      <c r="N303" s="8"/>
      <c r="O303" s="8"/>
      <c r="P303" s="8"/>
      <c r="Q303" s="8"/>
    </row>
    <row r="304" spans="2:19" ht="12.75" hidden="1" customHeight="1" x14ac:dyDescent="0.25">
      <c r="B304" s="6"/>
      <c r="C304" s="120" t="s">
        <v>100</v>
      </c>
      <c r="D304" s="95">
        <f t="shared" ref="D304:D324" si="25">SUM(E315:P315)</f>
        <v>362314.78200000001</v>
      </c>
      <c r="E304" s="8">
        <f>+F279+H279</f>
        <v>52230.020399999994</v>
      </c>
      <c r="F304" s="8">
        <f t="shared" ref="F304:J323" si="26">+E304</f>
        <v>52230.020399999994</v>
      </c>
      <c r="G304" s="8">
        <f t="shared" si="26"/>
        <v>52230.020399999994</v>
      </c>
      <c r="H304" s="8">
        <f t="shared" si="26"/>
        <v>52230.020399999994</v>
      </c>
      <c r="I304" s="8">
        <f t="shared" si="26"/>
        <v>52230.020399999994</v>
      </c>
      <c r="J304" s="8">
        <f t="shared" si="26"/>
        <v>52230.020399999994</v>
      </c>
      <c r="K304" s="8">
        <f>+G279+I279</f>
        <v>56408.422032000002</v>
      </c>
      <c r="L304" s="8"/>
      <c r="M304" s="8"/>
      <c r="N304" s="8"/>
      <c r="O304" s="8"/>
      <c r="P304" s="8"/>
      <c r="Q304" s="8"/>
    </row>
    <row r="305" spans="2:17" ht="12.75" hidden="1" customHeight="1" x14ac:dyDescent="0.25">
      <c r="B305" s="6"/>
      <c r="C305" s="120" t="s">
        <v>101</v>
      </c>
      <c r="D305" s="95">
        <f t="shared" si="25"/>
        <v>252217.42286399999</v>
      </c>
      <c r="E305" s="8">
        <f>+F280+H280</f>
        <v>34687.483200000002</v>
      </c>
      <c r="F305" s="8">
        <f t="shared" si="26"/>
        <v>34687.483200000002</v>
      </c>
      <c r="G305" s="8">
        <f t="shared" si="26"/>
        <v>34687.483200000002</v>
      </c>
      <c r="H305" s="8">
        <f t="shared" si="26"/>
        <v>34687.483200000002</v>
      </c>
      <c r="I305" s="8">
        <f t="shared" si="26"/>
        <v>34687.483200000002</v>
      </c>
      <c r="J305" s="8">
        <f t="shared" si="26"/>
        <v>34687.483200000002</v>
      </c>
      <c r="K305" s="8">
        <f>+G280+I280</f>
        <v>37462.481855999999</v>
      </c>
      <c r="L305" s="8"/>
      <c r="M305" s="8"/>
      <c r="N305" s="8"/>
      <c r="O305" s="8"/>
      <c r="P305" s="8"/>
      <c r="Q305" s="8"/>
    </row>
    <row r="306" spans="2:17" ht="12.75" hidden="1" customHeight="1" x14ac:dyDescent="0.25">
      <c r="B306" s="6"/>
      <c r="C306" s="120" t="s">
        <v>102</v>
      </c>
      <c r="D306" s="95">
        <f t="shared" si="25"/>
        <v>252217.42286399999</v>
      </c>
      <c r="E306" s="8">
        <f>+E305</f>
        <v>34687.483200000002</v>
      </c>
      <c r="F306" s="8">
        <f t="shared" si="26"/>
        <v>34687.483200000002</v>
      </c>
      <c r="G306" s="8">
        <f t="shared" si="26"/>
        <v>34687.483200000002</v>
      </c>
      <c r="H306" s="8">
        <f t="shared" si="26"/>
        <v>34687.483200000002</v>
      </c>
      <c r="I306" s="8">
        <f t="shared" si="26"/>
        <v>34687.483200000002</v>
      </c>
      <c r="J306" s="8">
        <f t="shared" si="26"/>
        <v>34687.483200000002</v>
      </c>
      <c r="K306" s="8">
        <f>+K305</f>
        <v>37462.481855999999</v>
      </c>
      <c r="L306" s="8"/>
      <c r="M306" s="8"/>
      <c r="N306" s="8"/>
      <c r="O306" s="8"/>
      <c r="P306" s="8"/>
      <c r="Q306" s="8"/>
    </row>
    <row r="307" spans="2:17" ht="12.75" hidden="1" customHeight="1" x14ac:dyDescent="0.25">
      <c r="B307" s="6"/>
      <c r="C307" s="120" t="s">
        <v>158</v>
      </c>
      <c r="D307" s="95">
        <f t="shared" si="25"/>
        <v>252758.40566399999</v>
      </c>
      <c r="E307" s="8">
        <f>+E306</f>
        <v>34687.483200000002</v>
      </c>
      <c r="F307" s="8">
        <f t="shared" si="26"/>
        <v>34687.483200000002</v>
      </c>
      <c r="G307" s="8">
        <f t="shared" si="26"/>
        <v>34687.483200000002</v>
      </c>
      <c r="H307" s="8">
        <f t="shared" si="26"/>
        <v>34687.483200000002</v>
      </c>
      <c r="I307" s="8">
        <f t="shared" si="26"/>
        <v>34687.483200000002</v>
      </c>
      <c r="J307" s="8">
        <f t="shared" si="26"/>
        <v>34687.483200000002</v>
      </c>
      <c r="K307" s="8">
        <f>+K306</f>
        <v>37462.481855999999</v>
      </c>
      <c r="L307" s="8"/>
      <c r="M307" s="8"/>
      <c r="N307" s="8"/>
      <c r="O307" s="8"/>
      <c r="P307" s="8"/>
      <c r="Q307" s="8"/>
    </row>
    <row r="308" spans="2:17" ht="12.75" hidden="1" customHeight="1" x14ac:dyDescent="0.25">
      <c r="B308" s="6"/>
      <c r="C308" s="120" t="s">
        <v>103</v>
      </c>
      <c r="D308" s="95">
        <f t="shared" si="25"/>
        <v>132291.51206399998</v>
      </c>
      <c r="E308" s="8">
        <f>+F282+H282</f>
        <v>17873.8704</v>
      </c>
      <c r="F308" s="8">
        <f t="shared" si="26"/>
        <v>17873.8704</v>
      </c>
      <c r="G308" s="8">
        <f t="shared" si="26"/>
        <v>17873.8704</v>
      </c>
      <c r="H308" s="8">
        <f t="shared" si="26"/>
        <v>17873.8704</v>
      </c>
      <c r="I308" s="8">
        <f t="shared" si="26"/>
        <v>17873.8704</v>
      </c>
      <c r="J308" s="8">
        <f t="shared" si="26"/>
        <v>17873.8704</v>
      </c>
      <c r="K308" s="8">
        <f>+G282+I282</f>
        <v>19303.780031999999</v>
      </c>
      <c r="L308" s="8"/>
      <c r="M308" s="8"/>
      <c r="N308" s="8"/>
      <c r="O308" s="8"/>
      <c r="P308" s="8"/>
      <c r="Q308" s="8"/>
    </row>
    <row r="309" spans="2:17" ht="12.75" hidden="1" customHeight="1" x14ac:dyDescent="0.25">
      <c r="B309" s="6"/>
      <c r="C309" s="120" t="s">
        <v>104</v>
      </c>
      <c r="D309" s="95">
        <f t="shared" si="25"/>
        <v>104616.37425599998</v>
      </c>
      <c r="E309" s="8">
        <f>+F284</f>
        <v>15047.607599999999</v>
      </c>
      <c r="F309" s="8">
        <f t="shared" si="26"/>
        <v>15047.607599999999</v>
      </c>
      <c r="G309" s="8">
        <f t="shared" si="26"/>
        <v>15047.607599999999</v>
      </c>
      <c r="H309" s="8">
        <f t="shared" si="26"/>
        <v>15047.607599999999</v>
      </c>
      <c r="I309" s="8">
        <f t="shared" si="26"/>
        <v>15047.607599999999</v>
      </c>
      <c r="J309" s="8">
        <f t="shared" si="26"/>
        <v>15047.607599999999</v>
      </c>
      <c r="K309" s="8">
        <f>+G284</f>
        <v>16251.416207999999</v>
      </c>
      <c r="L309" s="8"/>
      <c r="M309" s="8"/>
      <c r="N309" s="8"/>
      <c r="O309" s="8"/>
      <c r="P309" s="8"/>
      <c r="Q309" s="8"/>
    </row>
    <row r="310" spans="2:17" ht="12.75" hidden="1" customHeight="1" x14ac:dyDescent="0.25">
      <c r="B310" s="6"/>
      <c r="C310" s="120" t="s">
        <v>105</v>
      </c>
      <c r="D310" s="95">
        <f t="shared" si="25"/>
        <v>140460.23088000002</v>
      </c>
      <c r="E310" s="8">
        <f>+F285</f>
        <v>12334.993200000001</v>
      </c>
      <c r="F310" s="8">
        <f t="shared" si="26"/>
        <v>12334.993200000001</v>
      </c>
      <c r="G310" s="8">
        <f t="shared" si="26"/>
        <v>12334.993200000001</v>
      </c>
      <c r="H310" s="8">
        <f t="shared" si="26"/>
        <v>12334.993200000001</v>
      </c>
      <c r="I310" s="8">
        <f t="shared" si="26"/>
        <v>12334.993200000001</v>
      </c>
      <c r="J310" s="8">
        <f t="shared" si="26"/>
        <v>12334.993200000001</v>
      </c>
      <c r="K310" s="8">
        <f>+G285</f>
        <v>13321.792656000001</v>
      </c>
      <c r="L310" s="8"/>
      <c r="M310" s="8"/>
      <c r="N310" s="8"/>
      <c r="O310" s="8"/>
      <c r="P310" s="8"/>
      <c r="Q310" s="8"/>
    </row>
    <row r="311" spans="2:17" ht="12.75" hidden="1" customHeight="1" x14ac:dyDescent="0.25">
      <c r="B311" s="6"/>
      <c r="C311" s="120" t="s">
        <v>106</v>
      </c>
      <c r="D311" s="95">
        <f t="shared" si="25"/>
        <v>135836.85456000001</v>
      </c>
      <c r="E311" s="8">
        <f>+F287</f>
        <v>11478.812400000001</v>
      </c>
      <c r="F311" s="8">
        <f t="shared" si="26"/>
        <v>11478.812400000001</v>
      </c>
      <c r="G311" s="8">
        <f t="shared" si="26"/>
        <v>11478.812400000001</v>
      </c>
      <c r="H311" s="8">
        <f t="shared" si="26"/>
        <v>11478.812400000001</v>
      </c>
      <c r="I311" s="8">
        <f t="shared" si="26"/>
        <v>11478.812400000001</v>
      </c>
      <c r="J311" s="8">
        <f t="shared" si="26"/>
        <v>11478.812400000001</v>
      </c>
      <c r="K311" s="8">
        <f>+G287</f>
        <v>12397.117392</v>
      </c>
      <c r="L311" s="8"/>
      <c r="M311" s="8"/>
      <c r="N311" s="8"/>
      <c r="O311" s="8"/>
      <c r="P311" s="8"/>
      <c r="Q311" s="8"/>
    </row>
    <row r="312" spans="2:17" ht="12.75" hidden="1" customHeight="1" x14ac:dyDescent="0.25">
      <c r="B312" s="6"/>
      <c r="C312" s="120" t="s">
        <v>107</v>
      </c>
      <c r="D312" s="95">
        <f t="shared" si="25"/>
        <v>85985.586960000001</v>
      </c>
      <c r="E312" s="8">
        <f>+F288</f>
        <v>11478.812400000001</v>
      </c>
      <c r="F312" s="8">
        <f t="shared" si="26"/>
        <v>11478.812400000001</v>
      </c>
      <c r="G312" s="8">
        <f t="shared" si="26"/>
        <v>11478.812400000001</v>
      </c>
      <c r="H312" s="8">
        <f t="shared" si="26"/>
        <v>11478.812400000001</v>
      </c>
      <c r="I312" s="8">
        <f t="shared" si="26"/>
        <v>11478.812400000001</v>
      </c>
      <c r="J312" s="8">
        <f t="shared" si="26"/>
        <v>11478.812400000001</v>
      </c>
      <c r="K312" s="8">
        <f>+G288</f>
        <v>12397.117392</v>
      </c>
      <c r="L312" s="6" t="s">
        <v>98</v>
      </c>
      <c r="M312" s="6"/>
      <c r="N312" s="6"/>
      <c r="O312" s="6"/>
      <c r="P312" s="6"/>
      <c r="Q312" s="6"/>
    </row>
    <row r="313" spans="2:17" ht="12.75" hidden="1" customHeight="1" x14ac:dyDescent="0.25">
      <c r="B313" s="6"/>
      <c r="C313" s="120" t="s">
        <v>108</v>
      </c>
      <c r="D313" s="95">
        <f t="shared" si="25"/>
        <v>105525.70152</v>
      </c>
      <c r="E313" s="8">
        <f>+F286</f>
        <v>11764.0188</v>
      </c>
      <c r="F313" s="8">
        <f t="shared" si="26"/>
        <v>11764.0188</v>
      </c>
      <c r="G313" s="8">
        <f t="shared" si="26"/>
        <v>11764.0188</v>
      </c>
      <c r="H313" s="8">
        <f t="shared" si="26"/>
        <v>11764.0188</v>
      </c>
      <c r="I313" s="8">
        <f t="shared" si="26"/>
        <v>11764.0188</v>
      </c>
      <c r="J313" s="8">
        <f t="shared" si="26"/>
        <v>11764.0188</v>
      </c>
      <c r="K313" s="8">
        <f>+G286</f>
        <v>12705.140304</v>
      </c>
      <c r="L313" s="6"/>
      <c r="M313" s="6"/>
      <c r="N313" s="6"/>
      <c r="O313" s="6"/>
      <c r="P313" s="6"/>
      <c r="Q313" s="6"/>
    </row>
    <row r="314" spans="2:17" ht="13.5" hidden="1" customHeight="1" thickBot="1" x14ac:dyDescent="0.3">
      <c r="B314" s="6"/>
      <c r="C314" s="120" t="s">
        <v>109</v>
      </c>
      <c r="D314" s="95">
        <f t="shared" si="25"/>
        <v>2335883.5596479988</v>
      </c>
      <c r="E314" s="8">
        <f>+F291</f>
        <v>11478.812400000001</v>
      </c>
      <c r="F314" s="8">
        <f t="shared" si="26"/>
        <v>11478.812400000001</v>
      </c>
      <c r="G314" s="8">
        <f t="shared" si="26"/>
        <v>11478.812400000001</v>
      </c>
      <c r="H314" s="8">
        <f t="shared" si="26"/>
        <v>11478.812400000001</v>
      </c>
      <c r="I314" s="8">
        <f t="shared" si="26"/>
        <v>11478.812400000001</v>
      </c>
      <c r="J314" s="8">
        <f t="shared" si="26"/>
        <v>11478.812400000001</v>
      </c>
      <c r="K314" s="8">
        <f>+G291</f>
        <v>12397.117392</v>
      </c>
      <c r="L314" s="119" t="s">
        <v>24</v>
      </c>
      <c r="M314" s="119" t="s">
        <v>25</v>
      </c>
      <c r="N314" s="119" t="s">
        <v>26</v>
      </c>
      <c r="O314" s="119" t="s">
        <v>27</v>
      </c>
      <c r="P314" s="119" t="s">
        <v>28</v>
      </c>
      <c r="Q314" s="134" t="s">
        <v>0</v>
      </c>
    </row>
    <row r="315" spans="2:17" ht="12.75" hidden="1" customHeight="1" x14ac:dyDescent="0.25">
      <c r="B315" s="6">
        <v>1</v>
      </c>
      <c r="C315" s="120" t="s">
        <v>110</v>
      </c>
      <c r="D315" s="95">
        <f t="shared" si="25"/>
        <v>256524.9192</v>
      </c>
      <c r="E315" s="8">
        <f>+F293</f>
        <v>11337.948</v>
      </c>
      <c r="F315" s="8">
        <f t="shared" si="26"/>
        <v>11337.948</v>
      </c>
      <c r="G315" s="8">
        <f t="shared" si="26"/>
        <v>11337.948</v>
      </c>
      <c r="H315" s="8">
        <f t="shared" si="26"/>
        <v>11337.948</v>
      </c>
      <c r="I315" s="8">
        <f t="shared" si="26"/>
        <v>11337.948</v>
      </c>
      <c r="J315" s="8">
        <f t="shared" si="26"/>
        <v>11337.948</v>
      </c>
      <c r="K315" s="8">
        <f>+G293</f>
        <v>12244.983840000001</v>
      </c>
      <c r="L315" s="8">
        <f t="shared" ref="L315:L333" si="27">+K304</f>
        <v>56408.422032000002</v>
      </c>
      <c r="M315" s="8">
        <f t="shared" ref="M315:P333" si="28">+L315</f>
        <v>56408.422032000002</v>
      </c>
      <c r="N315" s="8">
        <f t="shared" si="28"/>
        <v>56408.422032000002</v>
      </c>
      <c r="O315" s="8">
        <f t="shared" si="28"/>
        <v>56408.422032000002</v>
      </c>
      <c r="P315" s="8">
        <f t="shared" si="28"/>
        <v>56408.422032000002</v>
      </c>
      <c r="Q315" s="8"/>
    </row>
    <row r="316" spans="2:17" ht="12.75" hidden="1" customHeight="1" x14ac:dyDescent="0.25">
      <c r="B316" s="6">
        <v>2</v>
      </c>
      <c r="C316" s="120" t="s">
        <v>111</v>
      </c>
      <c r="D316" s="95">
        <f t="shared" si="25"/>
        <v>129855.51071999999</v>
      </c>
      <c r="E316" s="8">
        <f>+F290</f>
        <v>9167.3747999999996</v>
      </c>
      <c r="F316" s="8">
        <f t="shared" si="26"/>
        <v>9167.3747999999996</v>
      </c>
      <c r="G316" s="8">
        <f t="shared" si="26"/>
        <v>9167.3747999999996</v>
      </c>
      <c r="H316" s="8">
        <f t="shared" si="26"/>
        <v>9167.3747999999996</v>
      </c>
      <c r="I316" s="8">
        <f t="shared" si="26"/>
        <v>9167.3747999999996</v>
      </c>
      <c r="J316" s="8">
        <f t="shared" si="26"/>
        <v>9167.3747999999996</v>
      </c>
      <c r="K316" s="8">
        <f>+G290</f>
        <v>9900.7647839999991</v>
      </c>
      <c r="L316" s="8">
        <f t="shared" si="27"/>
        <v>37462.481855999999</v>
      </c>
      <c r="M316" s="8">
        <f t="shared" si="28"/>
        <v>37462.481855999999</v>
      </c>
      <c r="N316" s="8">
        <f t="shared" si="28"/>
        <v>37462.481855999999</v>
      </c>
      <c r="O316" s="8">
        <f t="shared" si="28"/>
        <v>37462.481855999999</v>
      </c>
      <c r="P316" s="8">
        <f t="shared" si="28"/>
        <v>37462.481855999999</v>
      </c>
      <c r="Q316" s="8"/>
    </row>
    <row r="317" spans="2:17" ht="12.75" hidden="1" customHeight="1" x14ac:dyDescent="0.25">
      <c r="B317" s="6">
        <v>3</v>
      </c>
      <c r="C317" s="120" t="s">
        <v>112</v>
      </c>
      <c r="D317" s="95">
        <f t="shared" si="25"/>
        <v>129855.51071999999</v>
      </c>
      <c r="E317" s="8">
        <f>+F289</f>
        <v>9167.3747999999996</v>
      </c>
      <c r="F317" s="8">
        <f t="shared" si="26"/>
        <v>9167.3747999999996</v>
      </c>
      <c r="G317" s="8">
        <f t="shared" si="26"/>
        <v>9167.3747999999996</v>
      </c>
      <c r="H317" s="8">
        <f t="shared" si="26"/>
        <v>9167.3747999999996</v>
      </c>
      <c r="I317" s="8">
        <f t="shared" si="26"/>
        <v>9167.3747999999996</v>
      </c>
      <c r="J317" s="8">
        <f t="shared" si="26"/>
        <v>9167.3747999999996</v>
      </c>
      <c r="K317" s="8">
        <f>+K316</f>
        <v>9900.7647839999991</v>
      </c>
      <c r="L317" s="8">
        <f t="shared" si="27"/>
        <v>37462.481855999999</v>
      </c>
      <c r="M317" s="8">
        <f t="shared" si="28"/>
        <v>37462.481855999999</v>
      </c>
      <c r="N317" s="8">
        <f t="shared" si="28"/>
        <v>37462.481855999999</v>
      </c>
      <c r="O317" s="8">
        <f t="shared" si="28"/>
        <v>37462.481855999999</v>
      </c>
      <c r="P317" s="8">
        <f t="shared" si="28"/>
        <v>37462.481855999999</v>
      </c>
      <c r="Q317" s="8"/>
    </row>
    <row r="318" spans="2:17" ht="12.75" hidden="1" customHeight="1" x14ac:dyDescent="0.25">
      <c r="B318" s="6">
        <v>4</v>
      </c>
      <c r="C318" s="120" t="s">
        <v>113</v>
      </c>
      <c r="D318" s="95">
        <f t="shared" si="25"/>
        <v>405919.81151999987</v>
      </c>
      <c r="E318" s="8">
        <f>+F292</f>
        <v>9243.7847999999994</v>
      </c>
      <c r="F318" s="8">
        <f t="shared" si="26"/>
        <v>9243.7847999999994</v>
      </c>
      <c r="G318" s="8">
        <f t="shared" si="26"/>
        <v>9243.7847999999994</v>
      </c>
      <c r="H318" s="8">
        <f t="shared" si="26"/>
        <v>9243.7847999999994</v>
      </c>
      <c r="I318" s="8">
        <f t="shared" si="26"/>
        <v>9243.7847999999994</v>
      </c>
      <c r="J318" s="8">
        <f t="shared" si="26"/>
        <v>9243.7847999999994</v>
      </c>
      <c r="K318" s="8">
        <f>+G292</f>
        <v>9983.2875839999997</v>
      </c>
      <c r="L318" s="8">
        <f t="shared" si="27"/>
        <v>37462.481855999999</v>
      </c>
      <c r="M318" s="8">
        <f t="shared" si="28"/>
        <v>37462.481855999999</v>
      </c>
      <c r="N318" s="8">
        <f t="shared" si="28"/>
        <v>37462.481855999999</v>
      </c>
      <c r="O318" s="8">
        <f t="shared" si="28"/>
        <v>37462.481855999999</v>
      </c>
      <c r="P318" s="8">
        <f t="shared" si="28"/>
        <v>37462.481855999999</v>
      </c>
      <c r="Q318" s="8"/>
    </row>
    <row r="319" spans="2:17" ht="12.75" hidden="1" customHeight="1" x14ac:dyDescent="0.25">
      <c r="B319" s="6">
        <f>+B318+1</f>
        <v>5</v>
      </c>
      <c r="C319" s="120" t="s">
        <v>114</v>
      </c>
      <c r="D319" s="95">
        <f t="shared" si="25"/>
        <v>2657185.5418079994</v>
      </c>
      <c r="E319" s="8">
        <f>+F294</f>
        <v>5052.6287999999995</v>
      </c>
      <c r="F319" s="8">
        <f t="shared" si="26"/>
        <v>5052.6287999999995</v>
      </c>
      <c r="G319" s="8">
        <f t="shared" si="26"/>
        <v>5052.6287999999995</v>
      </c>
      <c r="H319" s="8">
        <f t="shared" si="26"/>
        <v>5052.6287999999995</v>
      </c>
      <c r="I319" s="8">
        <f t="shared" si="26"/>
        <v>5052.6287999999995</v>
      </c>
      <c r="J319" s="8">
        <f t="shared" si="26"/>
        <v>5052.6287999999995</v>
      </c>
      <c r="K319" s="8">
        <f>+G294</f>
        <v>5456.8391039999997</v>
      </c>
      <c r="L319" s="8">
        <f t="shared" si="27"/>
        <v>19303.780031999999</v>
      </c>
      <c r="M319" s="8">
        <f t="shared" si="28"/>
        <v>19303.780031999999</v>
      </c>
      <c r="N319" s="8">
        <f t="shared" si="28"/>
        <v>19303.780031999999</v>
      </c>
      <c r="O319" s="8">
        <f t="shared" si="28"/>
        <v>19303.780031999999</v>
      </c>
      <c r="P319" s="8">
        <f t="shared" si="28"/>
        <v>19303.780031999999</v>
      </c>
      <c r="Q319" s="8"/>
    </row>
    <row r="320" spans="2:17" ht="12.75" hidden="1" customHeight="1" x14ac:dyDescent="0.25">
      <c r="B320" s="6">
        <f t="shared" ref="B320:B334" si="29">+B319+1</f>
        <v>6</v>
      </c>
      <c r="C320" s="120" t="s">
        <v>115</v>
      </c>
      <c r="D320" s="95">
        <f t="shared" si="25"/>
        <v>17816.410080000001</v>
      </c>
      <c r="E320" s="8">
        <f>+E295</f>
        <v>3299.3352</v>
      </c>
      <c r="F320" s="8">
        <f t="shared" si="26"/>
        <v>3299.3352</v>
      </c>
      <c r="G320" s="8">
        <f t="shared" si="26"/>
        <v>3299.3352</v>
      </c>
      <c r="H320" s="8">
        <f t="shared" si="26"/>
        <v>3299.3352</v>
      </c>
      <c r="I320" s="8">
        <f t="shared" si="26"/>
        <v>3299.3352</v>
      </c>
      <c r="J320" s="8">
        <f t="shared" si="26"/>
        <v>3299.3352</v>
      </c>
      <c r="K320" s="8">
        <f>+G295</f>
        <v>3563.2820160000001</v>
      </c>
      <c r="L320" s="8">
        <f t="shared" si="27"/>
        <v>16251.416207999999</v>
      </c>
      <c r="M320" s="8">
        <f t="shared" si="28"/>
        <v>16251.416207999999</v>
      </c>
      <c r="N320" s="8">
        <f t="shared" si="28"/>
        <v>16251.416207999999</v>
      </c>
      <c r="O320" s="8">
        <f t="shared" si="28"/>
        <v>16251.416207999999</v>
      </c>
      <c r="P320" s="8">
        <f t="shared" si="28"/>
        <v>16251.416207999999</v>
      </c>
      <c r="Q320" s="8"/>
    </row>
    <row r="321" spans="2:17" ht="12.75" hidden="1" customHeight="1" x14ac:dyDescent="0.25">
      <c r="B321" s="6">
        <f t="shared" si="29"/>
        <v>7</v>
      </c>
      <c r="C321" s="120" t="s">
        <v>159</v>
      </c>
      <c r="D321" s="95">
        <f t="shared" si="25"/>
        <v>56327.237999999998</v>
      </c>
      <c r="E321" s="8">
        <f>+F296</f>
        <v>10430.969999999999</v>
      </c>
      <c r="F321" s="8">
        <f t="shared" si="26"/>
        <v>10430.969999999999</v>
      </c>
      <c r="G321" s="8">
        <f t="shared" si="26"/>
        <v>10430.969999999999</v>
      </c>
      <c r="H321" s="8">
        <f t="shared" si="26"/>
        <v>10430.969999999999</v>
      </c>
      <c r="I321" s="8">
        <f t="shared" si="26"/>
        <v>10430.969999999999</v>
      </c>
      <c r="J321" s="8">
        <f t="shared" si="26"/>
        <v>10430.969999999999</v>
      </c>
      <c r="K321" s="8">
        <f>+G296</f>
        <v>11265.4476</v>
      </c>
      <c r="L321" s="8">
        <f t="shared" si="27"/>
        <v>13321.792656000001</v>
      </c>
      <c r="M321" s="8">
        <f t="shared" si="28"/>
        <v>13321.792656000001</v>
      </c>
      <c r="N321" s="8">
        <f t="shared" si="28"/>
        <v>13321.792656000001</v>
      </c>
      <c r="O321" s="8">
        <f t="shared" si="28"/>
        <v>13321.792656000001</v>
      </c>
      <c r="P321" s="8">
        <f t="shared" si="28"/>
        <v>13321.792656000001</v>
      </c>
      <c r="Q321" s="8"/>
    </row>
    <row r="322" spans="2:17" ht="12.75" hidden="1" customHeight="1" x14ac:dyDescent="0.25">
      <c r="B322" s="6">
        <f t="shared" si="29"/>
        <v>8</v>
      </c>
      <c r="C322" s="120" t="s">
        <v>160</v>
      </c>
      <c r="D322" s="95">
        <f t="shared" si="25"/>
        <v>174930.83799999999</v>
      </c>
      <c r="E322" s="8">
        <f>+F297</f>
        <v>10430.969999999999</v>
      </c>
      <c r="F322" s="8">
        <f t="shared" si="26"/>
        <v>10430.969999999999</v>
      </c>
      <c r="G322" s="8">
        <f t="shared" si="26"/>
        <v>10430.969999999999</v>
      </c>
      <c r="H322" s="8">
        <f t="shared" si="26"/>
        <v>10430.969999999999</v>
      </c>
      <c r="I322" s="8">
        <f t="shared" si="26"/>
        <v>10430.969999999999</v>
      </c>
      <c r="J322" s="8">
        <f t="shared" si="26"/>
        <v>10430.969999999999</v>
      </c>
      <c r="K322" s="8">
        <f>+G297</f>
        <v>11265.4476</v>
      </c>
      <c r="L322" s="8">
        <f t="shared" si="27"/>
        <v>12397.117392</v>
      </c>
      <c r="M322" s="8">
        <f t="shared" si="28"/>
        <v>12397.117392</v>
      </c>
      <c r="N322" s="8">
        <f t="shared" si="28"/>
        <v>12397.117392</v>
      </c>
      <c r="O322" s="8">
        <f t="shared" si="28"/>
        <v>12397.117392</v>
      </c>
      <c r="P322" s="8">
        <f t="shared" si="28"/>
        <v>12397.117392</v>
      </c>
      <c r="Q322" s="8"/>
    </row>
    <row r="323" spans="2:17" ht="12.75" hidden="1" customHeight="1" x14ac:dyDescent="0.25">
      <c r="B323" s="6">
        <f t="shared" si="29"/>
        <v>9</v>
      </c>
      <c r="C323" s="120" t="s">
        <v>161</v>
      </c>
      <c r="D323" s="95">
        <f t="shared" si="25"/>
        <v>101052.81999999999</v>
      </c>
      <c r="E323" s="8">
        <v>8000</v>
      </c>
      <c r="F323" s="8">
        <f t="shared" si="26"/>
        <v>8000</v>
      </c>
      <c r="G323" s="8">
        <f t="shared" si="26"/>
        <v>8000</v>
      </c>
      <c r="H323" s="8"/>
      <c r="I323" s="8"/>
      <c r="J323" s="8"/>
      <c r="K323" s="8"/>
      <c r="L323" s="8">
        <f t="shared" si="27"/>
        <v>12397.117392</v>
      </c>
      <c r="M323" s="8">
        <f t="shared" si="28"/>
        <v>12397.117392</v>
      </c>
      <c r="N323" s="8">
        <f t="shared" si="28"/>
        <v>12397.117392</v>
      </c>
      <c r="O323" s="8">
        <f t="shared" si="28"/>
        <v>12397.117392</v>
      </c>
      <c r="P323" s="8">
        <f t="shared" si="28"/>
        <v>12397.117392</v>
      </c>
      <c r="Q323" s="8"/>
    </row>
    <row r="324" spans="2:17" ht="12.75" hidden="1" customHeight="1" x14ac:dyDescent="0.25">
      <c r="B324" s="6">
        <f t="shared" si="29"/>
        <v>10</v>
      </c>
      <c r="C324" s="120" t="s">
        <v>162</v>
      </c>
      <c r="D324" s="95">
        <f t="shared" si="25"/>
        <v>106337.1</v>
      </c>
      <c r="E324" s="8">
        <v>6000</v>
      </c>
      <c r="F324" s="8">
        <v>6000</v>
      </c>
      <c r="G324" s="8">
        <f>+F324</f>
        <v>6000</v>
      </c>
      <c r="H324" s="8">
        <f>+G324</f>
        <v>6000</v>
      </c>
      <c r="I324" s="8">
        <f>+H324</f>
        <v>6000</v>
      </c>
      <c r="J324" s="8">
        <f>+I324</f>
        <v>6000</v>
      </c>
      <c r="K324" s="8">
        <f>+J324</f>
        <v>6000</v>
      </c>
      <c r="L324" s="8">
        <f t="shared" si="27"/>
        <v>12705.140304</v>
      </c>
      <c r="M324" s="8">
        <f t="shared" si="28"/>
        <v>12705.140304</v>
      </c>
      <c r="N324" s="8">
        <f t="shared" si="28"/>
        <v>12705.140304</v>
      </c>
      <c r="O324" s="8">
        <f t="shared" si="28"/>
        <v>12705.140304</v>
      </c>
      <c r="P324" s="8">
        <f t="shared" si="28"/>
        <v>12705.140304</v>
      </c>
      <c r="Q324" s="8"/>
    </row>
    <row r="325" spans="2:17" ht="12.75" hidden="1" customHeight="1" x14ac:dyDescent="0.25">
      <c r="B325" s="6">
        <f t="shared" si="29"/>
        <v>11</v>
      </c>
      <c r="C325" s="120"/>
      <c r="D325" s="95">
        <f t="shared" ref="D325:J325" si="30">SUM(D304:D324)</f>
        <v>8195913.5533279981</v>
      </c>
      <c r="E325" s="8">
        <f t="shared" si="30"/>
        <v>329879.78359999991</v>
      </c>
      <c r="F325" s="8">
        <f t="shared" si="30"/>
        <v>329879.78359999991</v>
      </c>
      <c r="G325" s="8">
        <f t="shared" si="30"/>
        <v>329879.78359999991</v>
      </c>
      <c r="H325" s="8">
        <f t="shared" si="30"/>
        <v>321879.78359999991</v>
      </c>
      <c r="I325" s="8">
        <f t="shared" si="30"/>
        <v>321879.78359999991</v>
      </c>
      <c r="J325" s="8">
        <f t="shared" si="30"/>
        <v>321879.78359999991</v>
      </c>
      <c r="K325" s="8">
        <f>SUM(K304:K320)</f>
        <v>318619.27108799998</v>
      </c>
      <c r="L325" s="8">
        <f t="shared" si="27"/>
        <v>12397.117392</v>
      </c>
      <c r="M325" s="8">
        <f t="shared" si="28"/>
        <v>12397.117392</v>
      </c>
      <c r="N325" s="8">
        <f t="shared" si="28"/>
        <v>12397.117392</v>
      </c>
      <c r="O325" s="8">
        <f t="shared" si="28"/>
        <v>12397.117392</v>
      </c>
      <c r="P325" s="8">
        <f t="shared" si="28"/>
        <v>12397.117392</v>
      </c>
      <c r="Q325" s="8"/>
    </row>
    <row r="326" spans="2:17" ht="12.75" hidden="1" customHeight="1" x14ac:dyDescent="0.25">
      <c r="B326" s="6">
        <f t="shared" si="29"/>
        <v>12</v>
      </c>
      <c r="C326" s="135" t="s">
        <v>147</v>
      </c>
      <c r="D326" s="136">
        <f>SUM(E337:P337)</f>
        <v>179466.4</v>
      </c>
      <c r="E326" s="137">
        <v>27900</v>
      </c>
      <c r="F326" s="137">
        <f t="shared" ref="F326:K328" si="31">+E326</f>
        <v>27900</v>
      </c>
      <c r="G326" s="137">
        <f t="shared" si="31"/>
        <v>27900</v>
      </c>
      <c r="H326" s="137">
        <f t="shared" si="31"/>
        <v>27900</v>
      </c>
      <c r="I326" s="137">
        <f t="shared" si="31"/>
        <v>27900</v>
      </c>
      <c r="J326" s="137">
        <f t="shared" si="31"/>
        <v>27900</v>
      </c>
      <c r="K326" s="137">
        <f t="shared" si="31"/>
        <v>27900</v>
      </c>
      <c r="L326" s="8">
        <f t="shared" si="27"/>
        <v>12244.983840000001</v>
      </c>
      <c r="M326" s="8">
        <f t="shared" si="28"/>
        <v>12244.983840000001</v>
      </c>
      <c r="N326" s="8">
        <f t="shared" si="28"/>
        <v>12244.983840000001</v>
      </c>
      <c r="O326" s="8">
        <f t="shared" si="28"/>
        <v>12244.983840000001</v>
      </c>
      <c r="P326" s="8">
        <f t="shared" si="28"/>
        <v>12244.983840000001</v>
      </c>
      <c r="Q326" s="8"/>
    </row>
    <row r="327" spans="2:17" ht="12.75" hidden="1" customHeight="1" x14ac:dyDescent="0.25">
      <c r="B327" s="6">
        <f t="shared" si="29"/>
        <v>13</v>
      </c>
      <c r="C327" s="135" t="s">
        <v>148</v>
      </c>
      <c r="D327" s="136">
        <f>SUM(E338:P338)</f>
        <v>94585.361999999994</v>
      </c>
      <c r="E327" s="137">
        <f>+E311</f>
        <v>11478.812400000001</v>
      </c>
      <c r="F327" s="137">
        <f t="shared" si="31"/>
        <v>11478.812400000001</v>
      </c>
      <c r="G327" s="137">
        <f t="shared" si="31"/>
        <v>11478.812400000001</v>
      </c>
      <c r="H327" s="137">
        <f t="shared" si="31"/>
        <v>11478.812400000001</v>
      </c>
      <c r="I327" s="137">
        <f t="shared" si="31"/>
        <v>11478.812400000001</v>
      </c>
      <c r="J327" s="137">
        <f t="shared" si="31"/>
        <v>11478.812400000001</v>
      </c>
      <c r="K327" s="137">
        <f t="shared" si="31"/>
        <v>11478.812400000001</v>
      </c>
      <c r="L327" s="8">
        <f t="shared" si="27"/>
        <v>9900.7647839999991</v>
      </c>
      <c r="M327" s="8">
        <f t="shared" si="28"/>
        <v>9900.7647839999991</v>
      </c>
      <c r="N327" s="8">
        <f t="shared" si="28"/>
        <v>9900.7647839999991</v>
      </c>
      <c r="O327" s="8">
        <f t="shared" si="28"/>
        <v>9900.7647839999991</v>
      </c>
      <c r="P327" s="8">
        <f t="shared" si="28"/>
        <v>9900.7647839999991</v>
      </c>
      <c r="Q327" s="8"/>
    </row>
    <row r="328" spans="2:17" ht="12.75" hidden="1" customHeight="1" x14ac:dyDescent="0.25">
      <c r="B328" s="6">
        <f t="shared" si="29"/>
        <v>14</v>
      </c>
      <c r="C328" s="135" t="s">
        <v>148</v>
      </c>
      <c r="D328" s="136">
        <f>SUM(E339:P339)</f>
        <v>96184.801999999996</v>
      </c>
      <c r="E328" s="137">
        <f>+E327</f>
        <v>11478.812400000001</v>
      </c>
      <c r="F328" s="137">
        <f t="shared" si="31"/>
        <v>11478.812400000001</v>
      </c>
      <c r="G328" s="137">
        <f t="shared" si="31"/>
        <v>11478.812400000001</v>
      </c>
      <c r="H328" s="137">
        <f t="shared" si="31"/>
        <v>11478.812400000001</v>
      </c>
      <c r="I328" s="137">
        <f t="shared" si="31"/>
        <v>11478.812400000001</v>
      </c>
      <c r="J328" s="137">
        <f t="shared" si="31"/>
        <v>11478.812400000001</v>
      </c>
      <c r="K328" s="137">
        <f t="shared" si="31"/>
        <v>11478.812400000001</v>
      </c>
      <c r="L328" s="8">
        <f t="shared" si="27"/>
        <v>9900.7647839999991</v>
      </c>
      <c r="M328" s="8">
        <f t="shared" si="28"/>
        <v>9900.7647839999991</v>
      </c>
      <c r="N328" s="8">
        <f t="shared" si="28"/>
        <v>9900.7647839999991</v>
      </c>
      <c r="O328" s="8">
        <f t="shared" si="28"/>
        <v>9900.7647839999991</v>
      </c>
      <c r="P328" s="8">
        <f t="shared" si="28"/>
        <v>9900.7647839999991</v>
      </c>
      <c r="Q328" s="8"/>
    </row>
    <row r="329" spans="2:17" ht="12.75" hidden="1" customHeight="1" x14ac:dyDescent="0.25">
      <c r="B329" s="6">
        <f t="shared" si="29"/>
        <v>15</v>
      </c>
      <c r="C329" s="135" t="s">
        <v>149</v>
      </c>
      <c r="D329" s="136">
        <f t="shared" ref="D329:K329" si="32">SUM(D326:D328)</f>
        <v>370236.56400000001</v>
      </c>
      <c r="E329" s="137">
        <f t="shared" si="32"/>
        <v>50857.624800000005</v>
      </c>
      <c r="F329" s="137">
        <f t="shared" si="32"/>
        <v>50857.624800000005</v>
      </c>
      <c r="G329" s="137">
        <f t="shared" si="32"/>
        <v>50857.624800000005</v>
      </c>
      <c r="H329" s="137">
        <f t="shared" si="32"/>
        <v>50857.624800000005</v>
      </c>
      <c r="I329" s="137">
        <f t="shared" si="32"/>
        <v>50857.624800000005</v>
      </c>
      <c r="J329" s="137">
        <f t="shared" si="32"/>
        <v>50857.624800000005</v>
      </c>
      <c r="K329" s="137">
        <f t="shared" si="32"/>
        <v>50857.624800000005</v>
      </c>
      <c r="L329" s="8">
        <f t="shared" si="27"/>
        <v>9983.2875839999997</v>
      </c>
      <c r="M329" s="8">
        <f t="shared" si="28"/>
        <v>9983.2875839999997</v>
      </c>
      <c r="N329" s="8">
        <f t="shared" si="28"/>
        <v>9983.2875839999997</v>
      </c>
      <c r="O329" s="8">
        <f t="shared" si="28"/>
        <v>9983.2875839999997</v>
      </c>
      <c r="P329" s="8">
        <f t="shared" si="28"/>
        <v>9983.2875839999997</v>
      </c>
      <c r="Q329" s="8"/>
    </row>
    <row r="330" spans="2:17" ht="12.75" hidden="1" customHeight="1" x14ac:dyDescent="0.25">
      <c r="B330" s="6">
        <f t="shared" si="29"/>
        <v>16</v>
      </c>
      <c r="C330" s="6"/>
      <c r="D330" s="95">
        <f t="shared" ref="D330:K330" si="33">+D329+D325</f>
        <v>8566150.1173279975</v>
      </c>
      <c r="E330" s="8">
        <f t="shared" si="33"/>
        <v>380737.4083999999</v>
      </c>
      <c r="F330" s="8">
        <f t="shared" si="33"/>
        <v>380737.4083999999</v>
      </c>
      <c r="G330" s="8">
        <f t="shared" si="33"/>
        <v>380737.4083999999</v>
      </c>
      <c r="H330" s="8">
        <f t="shared" si="33"/>
        <v>372737.4083999999</v>
      </c>
      <c r="I330" s="8">
        <f t="shared" si="33"/>
        <v>372737.4083999999</v>
      </c>
      <c r="J330" s="8">
        <f t="shared" si="33"/>
        <v>372737.4083999999</v>
      </c>
      <c r="K330" s="8">
        <f t="shared" si="33"/>
        <v>369476.89588799997</v>
      </c>
      <c r="L330" s="8">
        <f t="shared" si="27"/>
        <v>5456.8391039999997</v>
      </c>
      <c r="M330" s="8">
        <f t="shared" si="28"/>
        <v>5456.8391039999997</v>
      </c>
      <c r="N330" s="8">
        <f t="shared" si="28"/>
        <v>5456.8391039999997</v>
      </c>
      <c r="O330" s="8">
        <f t="shared" si="28"/>
        <v>5456.8391039999997</v>
      </c>
      <c r="P330" s="8">
        <f t="shared" si="28"/>
        <v>5456.8391039999997</v>
      </c>
      <c r="Q330" s="8"/>
    </row>
    <row r="331" spans="2:17" ht="12.75" hidden="1" customHeight="1" x14ac:dyDescent="0.25">
      <c r="B331" s="6">
        <f t="shared" si="29"/>
        <v>17</v>
      </c>
      <c r="C331" s="6"/>
      <c r="D331" s="95">
        <f>+D330*8%</f>
        <v>685292.00938623981</v>
      </c>
      <c r="E331" s="8"/>
      <c r="F331" s="8"/>
      <c r="G331" s="8"/>
      <c r="H331" s="8"/>
      <c r="I331" s="8"/>
      <c r="J331" s="8"/>
      <c r="K331" s="8"/>
      <c r="L331" s="8">
        <f t="shared" si="27"/>
        <v>3563.2820160000001</v>
      </c>
      <c r="M331" s="8">
        <f t="shared" si="28"/>
        <v>3563.2820160000001</v>
      </c>
      <c r="N331" s="8">
        <f t="shared" si="28"/>
        <v>3563.2820160000001</v>
      </c>
      <c r="O331" s="8">
        <f t="shared" si="28"/>
        <v>3563.2820160000001</v>
      </c>
      <c r="P331" s="8">
        <f t="shared" si="28"/>
        <v>3563.2820160000001</v>
      </c>
      <c r="Q331" s="8"/>
    </row>
    <row r="332" spans="2:17" ht="12.75" hidden="1" customHeight="1" x14ac:dyDescent="0.25">
      <c r="B332" s="6">
        <f t="shared" si="29"/>
        <v>18</v>
      </c>
      <c r="C332" s="6"/>
      <c r="D332" s="95"/>
      <c r="E332" s="8" t="s">
        <v>117</v>
      </c>
      <c r="F332" s="8" t="s">
        <v>178</v>
      </c>
      <c r="G332" s="8" t="s">
        <v>179</v>
      </c>
      <c r="H332" s="8" t="s">
        <v>117</v>
      </c>
      <c r="I332" s="8" t="s">
        <v>178</v>
      </c>
      <c r="J332" s="8"/>
      <c r="K332" s="8" t="s">
        <v>117</v>
      </c>
      <c r="L332" s="8">
        <f t="shared" si="27"/>
        <v>11265.4476</v>
      </c>
      <c r="M332" s="8">
        <f t="shared" si="28"/>
        <v>11265.4476</v>
      </c>
      <c r="N332" s="8">
        <f t="shared" si="28"/>
        <v>11265.4476</v>
      </c>
      <c r="O332" s="8">
        <f t="shared" si="28"/>
        <v>11265.4476</v>
      </c>
      <c r="P332" s="8">
        <f t="shared" si="28"/>
        <v>11265.4476</v>
      </c>
      <c r="Q332" s="8"/>
    </row>
    <row r="333" spans="2:17" ht="12.75" hidden="1" customHeight="1" x14ac:dyDescent="0.25">
      <c r="B333" s="6">
        <f t="shared" si="29"/>
        <v>19</v>
      </c>
      <c r="C333" s="120" t="s">
        <v>174</v>
      </c>
      <c r="D333" s="95">
        <f>+E333+F333+H333+I333+K333+L344</f>
        <v>132119.39999999997</v>
      </c>
      <c r="E333" s="8">
        <v>29471.200000000001</v>
      </c>
      <c r="F333" s="8">
        <v>74336.899999999994</v>
      </c>
      <c r="G333" s="8"/>
      <c r="H333" s="8">
        <f>535.84*5</f>
        <v>2679.2000000000003</v>
      </c>
      <c r="I333" s="8">
        <f>1351.58*5</f>
        <v>6757.9</v>
      </c>
      <c r="J333" s="8"/>
      <c r="K333" s="8">
        <f>535.84*10</f>
        <v>5358.4000000000005</v>
      </c>
      <c r="L333" s="8">
        <f t="shared" si="27"/>
        <v>11265.4476</v>
      </c>
      <c r="M333" s="8">
        <f t="shared" si="28"/>
        <v>11265.4476</v>
      </c>
      <c r="N333" s="8">
        <f t="shared" si="28"/>
        <v>11265.4476</v>
      </c>
      <c r="O333" s="8">
        <f t="shared" si="28"/>
        <v>11265.4476</v>
      </c>
      <c r="P333" s="8">
        <f t="shared" si="28"/>
        <v>11265.4476</v>
      </c>
      <c r="Q333" s="8"/>
    </row>
    <row r="334" spans="2:17" ht="12.75" hidden="1" customHeight="1" x14ac:dyDescent="0.25">
      <c r="B334" s="6">
        <f t="shared" si="29"/>
        <v>20</v>
      </c>
      <c r="C334" s="120" t="s">
        <v>101</v>
      </c>
      <c r="D334" s="95">
        <f t="shared" ref="D334:D351" si="34">SUM(E345:L345)</f>
        <v>35076.03</v>
      </c>
      <c r="E334" s="8">
        <f>595.84*55</f>
        <v>32771.200000000004</v>
      </c>
      <c r="F334" s="8">
        <f>508.69*55</f>
        <v>27977.95</v>
      </c>
      <c r="G334" s="8">
        <f>803.77*6</f>
        <v>4822.62</v>
      </c>
      <c r="H334" s="8">
        <f>595.84*5</f>
        <v>2979.2000000000003</v>
      </c>
      <c r="I334" s="8">
        <f>508.69*5</f>
        <v>2543.4499999999998</v>
      </c>
      <c r="J334" s="8"/>
      <c r="K334" s="8">
        <f>595.84*10</f>
        <v>5958.4000000000005</v>
      </c>
      <c r="L334" s="8">
        <v>8000</v>
      </c>
      <c r="M334" s="8">
        <f>+L334</f>
        <v>8000</v>
      </c>
      <c r="N334" s="8">
        <f>+M334</f>
        <v>8000</v>
      </c>
      <c r="O334" s="8"/>
      <c r="P334" s="8"/>
      <c r="Q334" s="8"/>
    </row>
    <row r="335" spans="2:17" ht="12.75" hidden="1" customHeight="1" x14ac:dyDescent="0.25">
      <c r="B335" s="6"/>
      <c r="C335" s="120" t="s">
        <v>102</v>
      </c>
      <c r="D335" s="95">
        <f t="shared" si="34"/>
        <v>35076.03</v>
      </c>
      <c r="E335" s="8">
        <f>654.51*55</f>
        <v>35998.050000000003</v>
      </c>
      <c r="F335" s="8">
        <f>+F334</f>
        <v>27977.95</v>
      </c>
      <c r="G335" s="8"/>
      <c r="H335" s="8">
        <f>654.51*5</f>
        <v>3272.55</v>
      </c>
      <c r="I335" s="8">
        <f>+I334</f>
        <v>2543.4499999999998</v>
      </c>
      <c r="J335" s="8"/>
      <c r="K335" s="8">
        <f>654.51*10</f>
        <v>6545.1</v>
      </c>
      <c r="L335" s="8">
        <f>+K324</f>
        <v>6000</v>
      </c>
      <c r="M335" s="8">
        <f>+L335</f>
        <v>6000</v>
      </c>
      <c r="N335" s="8">
        <f>+M335</f>
        <v>6000</v>
      </c>
      <c r="O335" s="8">
        <f>+N335</f>
        <v>6000</v>
      </c>
      <c r="P335" s="8">
        <f>+O335</f>
        <v>6000</v>
      </c>
      <c r="Q335" s="8"/>
    </row>
    <row r="336" spans="2:17" ht="12.75" hidden="1" customHeight="1" x14ac:dyDescent="0.25">
      <c r="B336" s="6"/>
      <c r="C336" s="120" t="s">
        <v>158</v>
      </c>
      <c r="D336" s="95">
        <f t="shared" si="34"/>
        <v>27534.5</v>
      </c>
      <c r="E336" s="8">
        <f>595.54*55</f>
        <v>32754.699999999997</v>
      </c>
      <c r="F336" s="8">
        <f>+F335</f>
        <v>27977.95</v>
      </c>
      <c r="G336" s="8"/>
      <c r="H336" s="8">
        <f>595.54*5</f>
        <v>2977.7</v>
      </c>
      <c r="I336" s="8">
        <f>+I335</f>
        <v>2543.4499999999998</v>
      </c>
      <c r="J336" s="8"/>
      <c r="K336" s="8">
        <f>595.54*10</f>
        <v>5955.4</v>
      </c>
      <c r="L336" s="8">
        <f>SUM(L315:L333)</f>
        <v>341150.16628800001</v>
      </c>
      <c r="M336" s="8">
        <f>SUM(M315:M335)</f>
        <v>355150.16628800001</v>
      </c>
      <c r="N336" s="8">
        <f>SUM(N315:N335)</f>
        <v>355150.16628800001</v>
      </c>
      <c r="O336" s="8">
        <f>SUM(O315:O335)</f>
        <v>347150.16628800001</v>
      </c>
      <c r="P336" s="8">
        <f>SUM(P315:P335)</f>
        <v>347150.16628800001</v>
      </c>
      <c r="Q336" s="8"/>
    </row>
    <row r="337" spans="2:17" ht="12.75" hidden="1" customHeight="1" x14ac:dyDescent="0.25">
      <c r="B337" s="138">
        <v>17</v>
      </c>
      <c r="C337" s="120" t="s">
        <v>103</v>
      </c>
      <c r="D337" s="95">
        <f t="shared" si="34"/>
        <v>14830.24</v>
      </c>
      <c r="E337" s="8">
        <f>461.2*55</f>
        <v>25366</v>
      </c>
      <c r="F337" s="8">
        <f>128.04*55</f>
        <v>7042.2</v>
      </c>
      <c r="G337" s="8"/>
      <c r="H337" s="8">
        <f>461.2*5</f>
        <v>2306</v>
      </c>
      <c r="I337" s="8">
        <f>128.04*5</f>
        <v>640.19999999999993</v>
      </c>
      <c r="J337" s="8"/>
      <c r="K337" s="8">
        <f>461.2*10</f>
        <v>4612</v>
      </c>
      <c r="L337" s="137">
        <f>+K326</f>
        <v>27900</v>
      </c>
      <c r="M337" s="137">
        <f t="shared" ref="M337:P339" si="35">+L337</f>
        <v>27900</v>
      </c>
      <c r="N337" s="137">
        <f t="shared" si="35"/>
        <v>27900</v>
      </c>
      <c r="O337" s="137">
        <f t="shared" si="35"/>
        <v>27900</v>
      </c>
      <c r="P337" s="137">
        <f t="shared" si="35"/>
        <v>27900</v>
      </c>
      <c r="Q337" s="137"/>
    </row>
    <row r="338" spans="2:17" ht="12.75" hidden="1" customHeight="1" x14ac:dyDescent="0.25">
      <c r="B338" s="138">
        <v>18</v>
      </c>
      <c r="C338" s="120" t="s">
        <v>104</v>
      </c>
      <c r="D338" s="95">
        <f t="shared" si="34"/>
        <v>8081.5</v>
      </c>
      <c r="E338" s="8">
        <f>509.47*55</f>
        <v>28020.850000000002</v>
      </c>
      <c r="F338" s="8"/>
      <c r="G338" s="8">
        <f>764.2*2</f>
        <v>1528.4</v>
      </c>
      <c r="H338" s="8">
        <f>509.47*5</f>
        <v>2547.3500000000004</v>
      </c>
      <c r="I338" s="8"/>
      <c r="J338" s="8"/>
      <c r="K338" s="8">
        <f>509.47*10</f>
        <v>5094.7000000000007</v>
      </c>
      <c r="L338" s="137">
        <f>+K327</f>
        <v>11478.812400000001</v>
      </c>
      <c r="M338" s="137">
        <f t="shared" si="35"/>
        <v>11478.812400000001</v>
      </c>
      <c r="N338" s="137">
        <f t="shared" si="35"/>
        <v>11478.812400000001</v>
      </c>
      <c r="O338" s="137">
        <f t="shared" si="35"/>
        <v>11478.812400000001</v>
      </c>
      <c r="P338" s="137">
        <f t="shared" si="35"/>
        <v>11478.812400000001</v>
      </c>
      <c r="Q338" s="137"/>
    </row>
    <row r="339" spans="2:17" ht="12.75" hidden="1" customHeight="1" x14ac:dyDescent="0.25">
      <c r="B339" s="138">
        <v>19</v>
      </c>
      <c r="C339" s="120" t="s">
        <v>105</v>
      </c>
      <c r="D339" s="95">
        <f t="shared" si="34"/>
        <v>26783.399999999998</v>
      </c>
      <c r="E339" s="8">
        <f>493.7*55</f>
        <v>27153.5</v>
      </c>
      <c r="F339" s="8"/>
      <c r="G339" s="8">
        <f>705.29*6</f>
        <v>4231.74</v>
      </c>
      <c r="H339" s="8">
        <f>493.7*5</f>
        <v>2468.5</v>
      </c>
      <c r="I339" s="8"/>
      <c r="J339" s="8"/>
      <c r="K339" s="8">
        <f>493.7*10</f>
        <v>4937</v>
      </c>
      <c r="L339" s="137">
        <f>+K328</f>
        <v>11478.812400000001</v>
      </c>
      <c r="M339" s="137">
        <f t="shared" si="35"/>
        <v>11478.812400000001</v>
      </c>
      <c r="N339" s="137">
        <f t="shared" si="35"/>
        <v>11478.812400000001</v>
      </c>
      <c r="O339" s="137">
        <f t="shared" si="35"/>
        <v>11478.812400000001</v>
      </c>
      <c r="P339" s="137">
        <f t="shared" si="35"/>
        <v>11478.812400000001</v>
      </c>
      <c r="Q339" s="137"/>
    </row>
    <row r="340" spans="2:17" ht="12.75" hidden="1" customHeight="1" x14ac:dyDescent="0.25">
      <c r="B340" s="138"/>
      <c r="C340" s="120" t="s">
        <v>175</v>
      </c>
      <c r="D340" s="95">
        <f t="shared" si="34"/>
        <v>26112.800000000003</v>
      </c>
      <c r="E340" s="8">
        <f>221.83*55</f>
        <v>12200.650000000001</v>
      </c>
      <c r="F340" s="8"/>
      <c r="G340" s="8"/>
      <c r="H340" s="8">
        <f>221.83*5</f>
        <v>1109.1500000000001</v>
      </c>
      <c r="I340" s="8"/>
      <c r="J340" s="8"/>
      <c r="K340" s="8">
        <f>221.83*10</f>
        <v>2218.3000000000002</v>
      </c>
      <c r="L340" s="137">
        <f>SUM(L337:L339)</f>
        <v>50857.624800000005</v>
      </c>
      <c r="M340" s="137">
        <f>SUM(M337:M339)</f>
        <v>50857.624800000005</v>
      </c>
      <c r="N340" s="137">
        <f>SUM(N337:N339)</f>
        <v>50857.624800000005</v>
      </c>
      <c r="O340" s="137">
        <f>SUM(O337:O339)</f>
        <v>50857.624800000005</v>
      </c>
      <c r="P340" s="137">
        <f>SUM(P337:P339)</f>
        <v>50857.624800000005</v>
      </c>
      <c r="Q340" s="137"/>
    </row>
    <row r="341" spans="2:17" ht="12.75" hidden="1" customHeight="1" x14ac:dyDescent="0.25">
      <c r="B341" s="6"/>
      <c r="C341" s="120" t="s">
        <v>107</v>
      </c>
      <c r="D341" s="95">
        <f t="shared" si="34"/>
        <v>754209.60999999987</v>
      </c>
      <c r="E341" s="8">
        <f>403.7*55</f>
        <v>22203.5</v>
      </c>
      <c r="F341" s="8"/>
      <c r="G341" s="8">
        <f>576.71*3</f>
        <v>1730.13</v>
      </c>
      <c r="H341" s="8">
        <f>403.7*5</f>
        <v>2018.5</v>
      </c>
      <c r="I341" s="8"/>
      <c r="J341" s="8"/>
      <c r="K341" s="8">
        <f>403.7*10</f>
        <v>4037</v>
      </c>
      <c r="L341" s="8">
        <f>+L340+L336</f>
        <v>392007.791088</v>
      </c>
      <c r="M341" s="8">
        <f>+M340+M336</f>
        <v>406007.791088</v>
      </c>
      <c r="N341" s="8">
        <f>+N340+N336</f>
        <v>406007.791088</v>
      </c>
      <c r="O341" s="8">
        <f>+O340+O336</f>
        <v>398007.791088</v>
      </c>
      <c r="P341" s="8">
        <f>+P340+P336</f>
        <v>398007.791088</v>
      </c>
      <c r="Q341" s="8"/>
    </row>
    <row r="342" spans="2:17" ht="12.75" hidden="1" customHeight="1" x14ac:dyDescent="0.25">
      <c r="B342" s="6"/>
      <c r="C342" s="120" t="s">
        <v>108</v>
      </c>
      <c r="D342" s="95">
        <f t="shared" si="34"/>
        <v>16333.100000000002</v>
      </c>
      <c r="E342" s="8">
        <f>406.75*55</f>
        <v>22371.25</v>
      </c>
      <c r="F342" s="8"/>
      <c r="G342" s="8">
        <f>576.71*2</f>
        <v>1153.42</v>
      </c>
      <c r="H342" s="8">
        <f>406.75*5</f>
        <v>2033.75</v>
      </c>
      <c r="I342" s="8"/>
      <c r="J342" s="8"/>
      <c r="K342" s="8">
        <f>406.75*10</f>
        <v>4067.5</v>
      </c>
      <c r="L342" s="8"/>
      <c r="M342" s="8"/>
      <c r="N342" s="8"/>
      <c r="O342" s="8"/>
      <c r="P342" s="8"/>
      <c r="Q342" s="8"/>
    </row>
    <row r="343" spans="2:17" ht="12.75" hidden="1" customHeight="1" x14ac:dyDescent="0.25">
      <c r="B343" s="6"/>
      <c r="C343" s="120" t="s">
        <v>109</v>
      </c>
      <c r="D343" s="95">
        <f t="shared" si="34"/>
        <v>14000</v>
      </c>
      <c r="E343" s="8">
        <f>493.7*55</f>
        <v>27153.5</v>
      </c>
      <c r="F343" s="8"/>
      <c r="G343" s="8"/>
      <c r="H343" s="8">
        <f>493.7*5</f>
        <v>2468.5</v>
      </c>
      <c r="I343" s="8"/>
      <c r="J343" s="8"/>
      <c r="K343" s="8">
        <f>493.7*10</f>
        <v>4937</v>
      </c>
      <c r="L343" s="8" t="s">
        <v>178</v>
      </c>
      <c r="M343" s="8"/>
      <c r="N343" s="8"/>
      <c r="O343" s="8"/>
      <c r="P343" s="8" t="s">
        <v>97</v>
      </c>
      <c r="Q343" s="8"/>
    </row>
    <row r="344" spans="2:17" ht="12.75" hidden="1" customHeight="1" x14ac:dyDescent="0.25">
      <c r="B344" s="6"/>
      <c r="C344" s="120" t="s">
        <v>110</v>
      </c>
      <c r="D344" s="95">
        <f t="shared" si="34"/>
        <v>14000</v>
      </c>
      <c r="E344" s="8">
        <f>391.47*55</f>
        <v>21530.850000000002</v>
      </c>
      <c r="F344" s="8"/>
      <c r="G344" s="8"/>
      <c r="H344" s="8">
        <f>391.47*5</f>
        <v>1957.3500000000001</v>
      </c>
      <c r="I344" s="8"/>
      <c r="J344" s="8"/>
      <c r="K344" s="8">
        <f>391.47*10</f>
        <v>3914.7000000000003</v>
      </c>
      <c r="L344" s="8">
        <f>1351.58*10</f>
        <v>13515.8</v>
      </c>
      <c r="M344" s="8"/>
      <c r="N344" s="8"/>
      <c r="O344" s="8"/>
      <c r="P344" s="8">
        <f>15821.7+34224</f>
        <v>50045.7</v>
      </c>
      <c r="Q344" s="8"/>
    </row>
    <row r="345" spans="2:17" ht="12.75" hidden="1" customHeight="1" x14ac:dyDescent="0.25">
      <c r="B345" s="6"/>
      <c r="C345" s="120" t="s">
        <v>111</v>
      </c>
      <c r="D345" s="95">
        <f t="shared" si="34"/>
        <v>14000</v>
      </c>
      <c r="E345" s="8">
        <f>403.7*55</f>
        <v>22203.5</v>
      </c>
      <c r="F345" s="8"/>
      <c r="G345" s="8">
        <f>+G341</f>
        <v>1730.13</v>
      </c>
      <c r="H345" s="8">
        <f>403.7*5</f>
        <v>2018.5</v>
      </c>
      <c r="I345" s="8"/>
      <c r="J345" s="8"/>
      <c r="K345" s="8">
        <f>403.7*10</f>
        <v>4037</v>
      </c>
      <c r="L345" s="8">
        <f>508.69*10</f>
        <v>5086.8999999999996</v>
      </c>
      <c r="M345" s="8"/>
      <c r="N345" s="8"/>
      <c r="O345" s="8"/>
      <c r="P345" s="8">
        <v>27978.02</v>
      </c>
      <c r="Q345" s="8"/>
    </row>
    <row r="346" spans="2:17" ht="12.75" hidden="1" customHeight="1" x14ac:dyDescent="0.25">
      <c r="B346" s="6"/>
      <c r="C346" s="120" t="s">
        <v>112</v>
      </c>
      <c r="D346" s="95">
        <f t="shared" si="34"/>
        <v>58333.100000000006</v>
      </c>
      <c r="E346" s="8">
        <f>+E345</f>
        <v>22203.5</v>
      </c>
      <c r="F346" s="8"/>
      <c r="G346" s="8">
        <f>+G345</f>
        <v>1730.13</v>
      </c>
      <c r="H346" s="8">
        <f>+H345</f>
        <v>2018.5</v>
      </c>
      <c r="I346" s="8"/>
      <c r="J346" s="8"/>
      <c r="K346" s="8">
        <f>+K345</f>
        <v>4037</v>
      </c>
      <c r="L346" s="8">
        <f>+L345</f>
        <v>5086.8999999999996</v>
      </c>
      <c r="M346" s="8"/>
      <c r="N346" s="8"/>
      <c r="O346" s="8"/>
      <c r="P346" s="8">
        <f>+P345</f>
        <v>27978.02</v>
      </c>
      <c r="Q346" s="8"/>
    </row>
    <row r="347" spans="2:17" ht="12.75" hidden="1" customHeight="1" x14ac:dyDescent="0.25">
      <c r="B347" s="6"/>
      <c r="C347" s="120" t="s">
        <v>113</v>
      </c>
      <c r="D347" s="95">
        <f t="shared" si="34"/>
        <v>614252.10000000009</v>
      </c>
      <c r="E347" s="8">
        <f>320.68*55</f>
        <v>17637.400000000001</v>
      </c>
      <c r="F347" s="8"/>
      <c r="G347" s="8"/>
      <c r="H347" s="8">
        <f>320.68*5</f>
        <v>1603.4</v>
      </c>
      <c r="I347" s="8"/>
      <c r="J347" s="8"/>
      <c r="K347" s="8">
        <f>320.68*10</f>
        <v>3206.8</v>
      </c>
      <c r="L347" s="8">
        <f>+L346</f>
        <v>5086.8999999999996</v>
      </c>
      <c r="M347" s="6"/>
      <c r="N347" s="6"/>
      <c r="O347" s="6"/>
      <c r="P347" s="8">
        <v>9042.24</v>
      </c>
      <c r="Q347" s="6"/>
    </row>
    <row r="348" spans="2:17" ht="12.75" hidden="1" customHeight="1" x14ac:dyDescent="0.25">
      <c r="B348" s="6"/>
      <c r="C348" s="120" t="s">
        <v>114</v>
      </c>
      <c r="D348" s="95">
        <f t="shared" si="34"/>
        <v>0</v>
      </c>
      <c r="E348" s="8">
        <f>178.96*55</f>
        <v>9842.8000000000011</v>
      </c>
      <c r="F348" s="8"/>
      <c r="G348" s="8">
        <f>255.66*4</f>
        <v>1022.64</v>
      </c>
      <c r="H348" s="8">
        <f>178.96*5</f>
        <v>894.80000000000007</v>
      </c>
      <c r="I348" s="8"/>
      <c r="J348" s="8"/>
      <c r="K348" s="8">
        <f>178.96*10</f>
        <v>1789.6000000000001</v>
      </c>
      <c r="L348" s="8">
        <f>128.04*10</f>
        <v>1280.3999999999999</v>
      </c>
      <c r="M348" s="6"/>
      <c r="N348" s="6"/>
      <c r="O348" s="6"/>
      <c r="P348" s="8">
        <v>8888.7999999999993</v>
      </c>
      <c r="Q348" s="6"/>
    </row>
    <row r="349" spans="2:17" ht="12.75" hidden="1" customHeight="1" x14ac:dyDescent="0.25">
      <c r="B349" s="6"/>
      <c r="C349" s="120" t="s">
        <v>115</v>
      </c>
      <c r="D349" s="95">
        <f t="shared" si="34"/>
        <v>0</v>
      </c>
      <c r="E349" s="139">
        <f>115.45*55</f>
        <v>6349.75</v>
      </c>
      <c r="F349" s="139"/>
      <c r="G349" s="139"/>
      <c r="H349" s="139">
        <f>115.45*5</f>
        <v>577.25</v>
      </c>
      <c r="I349" s="139"/>
      <c r="J349" s="139"/>
      <c r="K349" s="139">
        <f>115.45*10</f>
        <v>1154.5</v>
      </c>
      <c r="L349" s="8"/>
      <c r="M349" s="6"/>
      <c r="N349" s="6"/>
      <c r="O349" s="6"/>
      <c r="P349" s="8">
        <v>8500</v>
      </c>
      <c r="Q349" s="6"/>
    </row>
    <row r="350" spans="2:17" ht="12.75" hidden="1" customHeight="1" x14ac:dyDescent="0.25">
      <c r="B350" s="6"/>
      <c r="C350" s="120" t="s">
        <v>159</v>
      </c>
      <c r="D350" s="95">
        <f t="shared" si="34"/>
        <v>0</v>
      </c>
      <c r="E350" s="139">
        <f>382.62*55</f>
        <v>21044.1</v>
      </c>
      <c r="F350" s="139"/>
      <c r="G350" s="139"/>
      <c r="H350" s="139">
        <f>382.62*5</f>
        <v>1913.1</v>
      </c>
      <c r="I350" s="139"/>
      <c r="J350" s="139"/>
      <c r="K350" s="139">
        <f>382.62*10</f>
        <v>3826.2</v>
      </c>
      <c r="L350" s="8"/>
      <c r="M350" s="6"/>
      <c r="N350" s="6"/>
      <c r="O350" s="6"/>
      <c r="P350" s="8">
        <v>9502.2000000000007</v>
      </c>
      <c r="Q350" s="6"/>
    </row>
    <row r="351" spans="2:17" ht="12.75" hidden="1" customHeight="1" x14ac:dyDescent="0.25">
      <c r="B351" s="6"/>
      <c r="C351" s="120" t="s">
        <v>176</v>
      </c>
      <c r="D351" s="95">
        <f t="shared" si="34"/>
        <v>0</v>
      </c>
      <c r="E351" s="139">
        <f>373.04*55</f>
        <v>20517.2</v>
      </c>
      <c r="F351" s="139"/>
      <c r="G351" s="139"/>
      <c r="H351" s="139">
        <f>373.04*5</f>
        <v>1865.2</v>
      </c>
      <c r="I351" s="139"/>
      <c r="J351" s="139"/>
      <c r="K351" s="139">
        <f>373.04*10</f>
        <v>3730.4</v>
      </c>
      <c r="L351" s="8"/>
      <c r="M351" s="6"/>
      <c r="N351" s="6"/>
      <c r="O351" s="6"/>
      <c r="P351" s="8">
        <f>+P350</f>
        <v>9502.2000000000007</v>
      </c>
      <c r="Q351" s="6"/>
    </row>
    <row r="352" spans="2:17" ht="12.75" hidden="1" customHeight="1" x14ac:dyDescent="0.25">
      <c r="B352" s="6"/>
      <c r="C352" s="120"/>
      <c r="D352" s="95">
        <f>SUM(D333:D351)</f>
        <v>1790741.81</v>
      </c>
      <c r="E352" s="140">
        <f>SUM(E333:E351)</f>
        <v>436793.5</v>
      </c>
      <c r="F352" s="140">
        <f>SUM(F333:F351)</f>
        <v>165312.95000000001</v>
      </c>
      <c r="G352" s="140">
        <f>SUM(G334:G351)</f>
        <v>17949.21</v>
      </c>
      <c r="H352" s="140">
        <f>SUM(H333:H351)</f>
        <v>39708.5</v>
      </c>
      <c r="I352" s="140">
        <f>SUM(I333:I351)</f>
        <v>15028.45</v>
      </c>
      <c r="J352" s="140"/>
      <c r="K352" s="140">
        <f>SUM(K333:K351)</f>
        <v>79417</v>
      </c>
      <c r="L352" s="8"/>
      <c r="M352" s="6"/>
      <c r="N352" s="6"/>
      <c r="O352" s="6"/>
      <c r="P352" s="8">
        <f>+P351</f>
        <v>9502.2000000000007</v>
      </c>
      <c r="Q352" s="6"/>
    </row>
    <row r="353" spans="2:17" ht="12.75" hidden="1" customHeight="1" x14ac:dyDescent="0.25">
      <c r="B353" s="6"/>
      <c r="C353" s="120" t="s">
        <v>161</v>
      </c>
      <c r="D353" s="95">
        <f>SUM(E364:L364)</f>
        <v>0</v>
      </c>
      <c r="E353" s="8">
        <f>233.33*55</f>
        <v>12833.150000000001</v>
      </c>
      <c r="F353" s="8"/>
      <c r="G353" s="8"/>
      <c r="H353" s="8">
        <f>233.33*5</f>
        <v>1166.6500000000001</v>
      </c>
      <c r="I353" s="8"/>
      <c r="J353" s="8"/>
      <c r="K353" s="8">
        <f>233.33*10</f>
        <v>2333.3000000000002</v>
      </c>
      <c r="L353" s="8"/>
      <c r="M353" s="6"/>
      <c r="N353" s="6"/>
      <c r="O353" s="6"/>
      <c r="P353" s="8">
        <v>9075</v>
      </c>
      <c r="Q353" s="6"/>
    </row>
    <row r="354" spans="2:17" ht="12.75" hidden="1" customHeight="1" x14ac:dyDescent="0.25">
      <c r="B354" s="6"/>
      <c r="C354" s="120" t="s">
        <v>162</v>
      </c>
      <c r="D354" s="95">
        <f>SUM(E365:L365)</f>
        <v>0</v>
      </c>
      <c r="E354" s="8">
        <f>200*55</f>
        <v>11000</v>
      </c>
      <c r="F354" s="8"/>
      <c r="G354" s="8"/>
      <c r="H354" s="8">
        <f>200*5</f>
        <v>1000</v>
      </c>
      <c r="I354" s="8"/>
      <c r="J354" s="8"/>
      <c r="K354" s="8">
        <f>200*10</f>
        <v>2000</v>
      </c>
      <c r="L354" s="8"/>
      <c r="M354" s="6"/>
      <c r="N354" s="6"/>
      <c r="O354" s="6"/>
      <c r="P354" s="8">
        <v>9370.7999999999993</v>
      </c>
      <c r="Q354" s="6"/>
    </row>
    <row r="355" spans="2:17" ht="12.75" hidden="1" customHeight="1" x14ac:dyDescent="0.25">
      <c r="B355" s="6"/>
      <c r="C355" s="120" t="s">
        <v>168</v>
      </c>
      <c r="D355" s="95">
        <f>SUM(E366:L366)</f>
        <v>0</v>
      </c>
      <c r="E355" s="8">
        <f>+E354</f>
        <v>11000</v>
      </c>
      <c r="F355" s="8"/>
      <c r="G355" s="8"/>
      <c r="H355" s="8">
        <f>+H354</f>
        <v>1000</v>
      </c>
      <c r="I355" s="8"/>
      <c r="J355" s="8"/>
      <c r="K355" s="8">
        <f>+K354</f>
        <v>2000</v>
      </c>
      <c r="L355" s="8"/>
      <c r="M355" s="6"/>
      <c r="N355" s="6"/>
      <c r="O355" s="6"/>
      <c r="P355" s="8">
        <v>7485.3</v>
      </c>
      <c r="Q355" s="6"/>
    </row>
    <row r="356" spans="2:17" ht="12.75" hidden="1" customHeight="1" x14ac:dyDescent="0.25">
      <c r="B356" s="6"/>
      <c r="C356" s="120" t="s">
        <v>169</v>
      </c>
      <c r="D356" s="95">
        <f>SUM(E367:L367)</f>
        <v>0</v>
      </c>
      <c r="E356" s="8">
        <f>+E355</f>
        <v>11000</v>
      </c>
      <c r="F356" s="8"/>
      <c r="G356" s="8"/>
      <c r="H356" s="8">
        <f>+H355</f>
        <v>1000</v>
      </c>
      <c r="I356" s="8"/>
      <c r="J356" s="8"/>
      <c r="K356" s="8">
        <f>+K355</f>
        <v>2000</v>
      </c>
      <c r="L356" s="8"/>
      <c r="M356" s="6"/>
      <c r="N356" s="6"/>
      <c r="O356" s="6"/>
      <c r="P356" s="8">
        <v>7485.3</v>
      </c>
      <c r="Q356" s="6"/>
    </row>
    <row r="357" spans="2:17" ht="12.75" hidden="1" customHeight="1" x14ac:dyDescent="0.25">
      <c r="B357" s="6"/>
      <c r="C357" s="6"/>
      <c r="D357" s="95">
        <f>SUM(D353:D356)</f>
        <v>0</v>
      </c>
      <c r="E357" s="95">
        <f>SUM(E353:E356)</f>
        <v>45833.15</v>
      </c>
      <c r="F357" s="8"/>
      <c r="G357" s="8"/>
      <c r="H357" s="95">
        <f>SUM(H353:H356)</f>
        <v>4166.6499999999996</v>
      </c>
      <c r="I357" s="8"/>
      <c r="J357" s="8"/>
      <c r="K357" s="95">
        <f>SUM(K353:K356)</f>
        <v>8333.2999999999993</v>
      </c>
      <c r="L357" s="8"/>
      <c r="M357" s="6"/>
      <c r="N357" s="6"/>
      <c r="O357" s="6"/>
      <c r="P357" s="8">
        <v>7545.3</v>
      </c>
      <c r="Q357" s="6"/>
    </row>
    <row r="358" spans="2:17" ht="12.75" hidden="1" customHeight="1" x14ac:dyDescent="0.25">
      <c r="B358" s="6"/>
      <c r="C358" s="120"/>
      <c r="D358" s="95">
        <f>+D357+D352</f>
        <v>1790741.81</v>
      </c>
      <c r="E358" s="95">
        <f>+E357+E352</f>
        <v>482626.65</v>
      </c>
      <c r="F358" s="95"/>
      <c r="G358" s="95"/>
      <c r="H358" s="95">
        <f>+H357+H352</f>
        <v>43875.15</v>
      </c>
      <c r="I358" s="95"/>
      <c r="J358" s="95"/>
      <c r="K358" s="95">
        <f>+K357+K352</f>
        <v>87750.3</v>
      </c>
      <c r="L358" s="8"/>
      <c r="M358" s="6"/>
      <c r="N358" s="6"/>
      <c r="O358" s="6"/>
      <c r="P358" s="8">
        <v>4265.1000000000004</v>
      </c>
      <c r="Q358" s="6"/>
    </row>
    <row r="359" spans="2:17" ht="12.75" hidden="1" customHeight="1" x14ac:dyDescent="0.25">
      <c r="B359" s="6"/>
      <c r="C359" s="120"/>
      <c r="D359" s="8"/>
      <c r="E359" s="6"/>
      <c r="F359" s="6"/>
      <c r="G359" s="6"/>
      <c r="H359" s="6"/>
      <c r="I359" s="6"/>
      <c r="J359" s="6"/>
      <c r="K359" s="6"/>
      <c r="L359" s="8"/>
      <c r="M359" s="6"/>
      <c r="N359" s="6"/>
      <c r="O359" s="6"/>
      <c r="P359" s="8">
        <v>2931.3</v>
      </c>
      <c r="Q359" s="6"/>
    </row>
    <row r="360" spans="2:17" ht="12.75" hidden="1" customHeight="1" x14ac:dyDescent="0.25">
      <c r="B360" s="6"/>
      <c r="C360" s="120"/>
      <c r="D360" s="95"/>
      <c r="E360" s="6"/>
      <c r="F360" s="6"/>
      <c r="G360" s="6"/>
      <c r="H360" s="6"/>
      <c r="I360" s="6"/>
      <c r="J360" s="6"/>
      <c r="K360" s="6"/>
      <c r="L360" s="139"/>
      <c r="M360" s="141"/>
      <c r="N360" s="141"/>
      <c r="O360" s="141"/>
      <c r="P360" s="139">
        <f>+P345</f>
        <v>27978.02</v>
      </c>
      <c r="Q360" s="6"/>
    </row>
    <row r="361" spans="2:17" ht="12.75" hidden="1" customHeight="1" x14ac:dyDescent="0.25">
      <c r="B361" s="6"/>
      <c r="C361" s="6"/>
      <c r="D361" s="95"/>
      <c r="E361" s="6"/>
      <c r="F361" s="6"/>
      <c r="G361" s="6"/>
      <c r="H361" s="6"/>
      <c r="I361" s="6"/>
      <c r="J361" s="6"/>
      <c r="K361" s="6"/>
      <c r="L361" s="139"/>
      <c r="M361" s="141"/>
      <c r="N361" s="141"/>
      <c r="O361" s="141"/>
      <c r="P361" s="139">
        <f>+P349</f>
        <v>8500</v>
      </c>
      <c r="Q361" s="6"/>
    </row>
    <row r="362" spans="2:17" ht="12.75" hidden="1" customHeight="1" x14ac:dyDescent="0.25">
      <c r="B362" s="6"/>
      <c r="C362" s="6"/>
      <c r="D362" s="95"/>
      <c r="E362" s="6"/>
      <c r="F362" s="6"/>
      <c r="G362" s="6"/>
      <c r="H362" s="6"/>
      <c r="I362" s="6"/>
      <c r="J362" s="6"/>
      <c r="K362" s="6"/>
      <c r="L362" s="139"/>
      <c r="M362" s="141"/>
      <c r="N362" s="141"/>
      <c r="O362" s="141"/>
      <c r="P362" s="139">
        <f>+P361</f>
        <v>8500</v>
      </c>
      <c r="Q362" s="6"/>
    </row>
    <row r="363" spans="2:17" ht="12.75" hidden="1" customHeight="1" x14ac:dyDescent="0.25">
      <c r="B363" s="6"/>
      <c r="C363" s="6"/>
      <c r="D363" s="95"/>
      <c r="E363" s="6"/>
      <c r="F363" s="6"/>
      <c r="G363" s="6"/>
      <c r="H363" s="6"/>
      <c r="I363" s="6"/>
      <c r="J363" s="6"/>
      <c r="K363" s="6"/>
      <c r="L363" s="140">
        <f>SUM(L344:L362)</f>
        <v>30056.9</v>
      </c>
      <c r="M363" s="141"/>
      <c r="N363" s="141"/>
      <c r="O363" s="141"/>
      <c r="P363" s="140">
        <f>SUM(P360:P362)</f>
        <v>44978.020000000004</v>
      </c>
      <c r="Q363" s="6"/>
    </row>
    <row r="364" spans="2:17" ht="12.75" hidden="1" customHeight="1" x14ac:dyDescent="0.25">
      <c r="B364" s="6"/>
      <c r="C364" s="6"/>
      <c r="D364" s="95"/>
      <c r="E364" s="6"/>
      <c r="F364" s="6"/>
      <c r="G364" s="6"/>
      <c r="H364" s="6"/>
      <c r="I364" s="6"/>
      <c r="J364" s="6"/>
      <c r="K364" s="6"/>
      <c r="L364" s="8"/>
      <c r="M364" s="6"/>
      <c r="N364" s="6"/>
      <c r="O364" s="6"/>
      <c r="P364" s="95"/>
      <c r="Q364" s="6"/>
    </row>
    <row r="365" spans="2:17" ht="12.75" hidden="1" customHeight="1" x14ac:dyDescent="0.25">
      <c r="B365" s="6"/>
      <c r="C365" s="6"/>
      <c r="D365" s="95"/>
      <c r="E365" s="6"/>
      <c r="F365" s="6"/>
      <c r="G365" s="6"/>
      <c r="H365" s="6"/>
      <c r="I365" s="6"/>
      <c r="J365" s="6"/>
      <c r="K365" s="6"/>
      <c r="L365" s="8"/>
      <c r="M365" s="6"/>
      <c r="N365" s="6"/>
      <c r="O365" s="6"/>
      <c r="P365" s="6"/>
      <c r="Q365" s="6"/>
    </row>
    <row r="366" spans="2:17" ht="12.75" hidden="1" customHeight="1" x14ac:dyDescent="0.25">
      <c r="B366" s="6"/>
      <c r="C366" s="6"/>
      <c r="D366" s="95"/>
      <c r="E366" s="6"/>
      <c r="F366" s="6"/>
      <c r="G366" s="6"/>
      <c r="H366" s="6"/>
      <c r="I366" s="6"/>
      <c r="J366" s="6"/>
      <c r="K366" s="6"/>
      <c r="L366" s="8"/>
      <c r="M366" s="8"/>
      <c r="N366" s="8"/>
      <c r="O366" s="8"/>
      <c r="P366" s="8"/>
      <c r="Q366" s="6"/>
    </row>
    <row r="367" spans="2:17" ht="12.75" hidden="1" customHeight="1" x14ac:dyDescent="0.25">
      <c r="B367" s="6"/>
      <c r="C367" s="6"/>
      <c r="D367" s="95"/>
      <c r="E367" s="6"/>
      <c r="F367" s="6"/>
      <c r="G367" s="6"/>
      <c r="H367" s="6"/>
      <c r="I367" s="6"/>
      <c r="J367" s="6"/>
      <c r="K367" s="6"/>
      <c r="L367" s="8"/>
      <c r="M367" s="6"/>
      <c r="N367" s="6"/>
      <c r="O367" s="6"/>
      <c r="P367" s="6"/>
      <c r="Q367" s="6"/>
    </row>
    <row r="368" spans="2:17" ht="12.75" hidden="1" customHeight="1" x14ac:dyDescent="0.25">
      <c r="B368" s="6"/>
      <c r="C368" s="6"/>
      <c r="D368" s="95"/>
      <c r="E368" s="6"/>
      <c r="F368" s="6"/>
      <c r="G368" s="6"/>
      <c r="H368" s="6"/>
      <c r="I368" s="6"/>
      <c r="J368" s="6"/>
      <c r="K368" s="6"/>
      <c r="L368" s="8"/>
      <c r="M368" s="6"/>
      <c r="N368" s="6"/>
      <c r="O368" s="6"/>
      <c r="P368" s="6"/>
      <c r="Q368" s="6"/>
    </row>
    <row r="369" spans="2:17" ht="12.75" hidden="1" customHeight="1" x14ac:dyDescent="0.25">
      <c r="B369" s="6"/>
      <c r="C369" s="6"/>
      <c r="D369" s="95"/>
      <c r="E369" s="6"/>
      <c r="F369" s="6"/>
      <c r="G369" s="6"/>
      <c r="H369" s="6"/>
      <c r="I369" s="6"/>
      <c r="J369" s="6"/>
      <c r="K369" s="6"/>
      <c r="L369" s="8"/>
      <c r="M369" s="6"/>
      <c r="N369" s="6"/>
      <c r="O369" s="6"/>
      <c r="P369" s="6"/>
      <c r="Q369" s="6"/>
    </row>
    <row r="370" spans="2:17" ht="12.75" hidden="1" customHeight="1" x14ac:dyDescent="0.25">
      <c r="B370" s="6"/>
      <c r="C370" s="6"/>
      <c r="D370" s="95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2:17" x14ac:dyDescent="0.25">
      <c r="B371" s="6"/>
      <c r="C371" s="6"/>
      <c r="D371" s="95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2:17" x14ac:dyDescent="0.25">
      <c r="B372" s="6"/>
      <c r="C372" s="6"/>
      <c r="D372" s="95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2:17" x14ac:dyDescent="0.25">
      <c r="B373" s="6"/>
      <c r="C373" s="6"/>
      <c r="D373" s="95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2:17" x14ac:dyDescent="0.25">
      <c r="B374" s="6"/>
      <c r="C374" s="6"/>
      <c r="D374" s="95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2:17" x14ac:dyDescent="0.25">
      <c r="B375" s="6"/>
      <c r="C375" s="6"/>
      <c r="D375" s="95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2:17" x14ac:dyDescent="0.25">
      <c r="B376" s="6"/>
      <c r="C376" s="6"/>
      <c r="D376" s="95">
        <f>+D219/12</f>
        <v>15037.958333333336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2:17" x14ac:dyDescent="0.25">
      <c r="B377" s="6"/>
      <c r="C377" s="6"/>
      <c r="D377" s="95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2:17" x14ac:dyDescent="0.25">
      <c r="B378" s="6"/>
      <c r="C378" s="6"/>
      <c r="D378" s="95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</sheetData>
  <mergeCells count="3">
    <mergeCell ref="B1:D1"/>
    <mergeCell ref="Y40:AC40"/>
    <mergeCell ref="B182:D182"/>
  </mergeCells>
  <phoneticPr fontId="0" type="noConversion"/>
  <printOptions horizontalCentered="1"/>
  <pageMargins left="0.74803149606299213" right="0.74803149606299213" top="2.598425196850394" bottom="2.598425196850394" header="0.51181102362204722" footer="0"/>
  <pageSetup scale="46" fitToHeight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10"/>
  <sheetViews>
    <sheetView zoomScale="90" zoomScaleNormal="90" workbookViewId="0">
      <pane ySplit="1" topLeftCell="A86" activePane="bottomLeft" state="frozen"/>
      <selection activeCell="E13" activeCellId="1" sqref="E9 E13"/>
      <selection pane="bottomLeft" activeCell="G79" sqref="G79"/>
    </sheetView>
  </sheetViews>
  <sheetFormatPr baseColWidth="10" defaultRowHeight="13.2" x14ac:dyDescent="0.25"/>
  <cols>
    <col min="1" max="1" width="9.6640625" style="2" bestFit="1" customWidth="1"/>
    <col min="2" max="2" width="10.6640625" style="4" bestFit="1" customWidth="1"/>
    <col min="3" max="3" width="85.44140625" style="4" bestFit="1" customWidth="1"/>
    <col min="4" max="4" width="11.6640625" style="4" bestFit="1" customWidth="1"/>
    <col min="5" max="5" width="8.44140625" style="4" bestFit="1" customWidth="1"/>
    <col min="6" max="6" width="11.33203125" style="4" bestFit="1" customWidth="1"/>
    <col min="7" max="7" width="13.33203125" style="4" bestFit="1" customWidth="1"/>
    <col min="8" max="13" width="12.6640625" style="4" bestFit="1" customWidth="1"/>
    <col min="14" max="14" width="11.88671875" style="4" bestFit="1" customWidth="1"/>
    <col min="15" max="15" width="12.6640625" style="4" bestFit="1" customWidth="1"/>
    <col min="16" max="16" width="16.6640625" style="4" bestFit="1" customWidth="1"/>
    <col min="17" max="17" width="13" style="4" bestFit="1" customWidth="1"/>
    <col min="18" max="18" width="15.44140625" style="4" bestFit="1" customWidth="1"/>
    <col min="19" max="19" width="14.44140625" style="4" bestFit="1" customWidth="1"/>
    <col min="20" max="20" width="16.5546875" style="2" bestFit="1" customWidth="1"/>
  </cols>
  <sheetData>
    <row r="1" spans="1:31" s="15" customFormat="1" ht="18" thickBot="1" x14ac:dyDescent="0.35">
      <c r="A1" s="143"/>
      <c r="B1" s="267" t="s">
        <v>94</v>
      </c>
      <c r="C1" s="267"/>
      <c r="D1" s="267"/>
      <c r="E1" s="267"/>
      <c r="F1" s="267"/>
      <c r="G1" s="267"/>
      <c r="T1" s="143"/>
    </row>
    <row r="2" spans="1:31" s="10" customFormat="1" ht="16.2" thickBot="1" x14ac:dyDescent="0.35">
      <c r="A2" s="144" t="s">
        <v>190</v>
      </c>
      <c r="B2" s="144" t="s">
        <v>189</v>
      </c>
      <c r="C2" s="144" t="s">
        <v>30</v>
      </c>
      <c r="D2" s="145" t="s">
        <v>31</v>
      </c>
      <c r="E2" s="145" t="s">
        <v>1</v>
      </c>
      <c r="F2" s="145" t="s">
        <v>32</v>
      </c>
      <c r="G2" s="144" t="s">
        <v>0</v>
      </c>
      <c r="H2" s="144" t="s">
        <v>17</v>
      </c>
      <c r="I2" s="144" t="s">
        <v>18</v>
      </c>
      <c r="J2" s="144" t="s">
        <v>19</v>
      </c>
      <c r="K2" s="144" t="s">
        <v>20</v>
      </c>
      <c r="L2" s="144" t="s">
        <v>21</v>
      </c>
      <c r="M2" s="144" t="s">
        <v>22</v>
      </c>
      <c r="N2" s="144" t="s">
        <v>23</v>
      </c>
      <c r="O2" s="144" t="s">
        <v>24</v>
      </c>
      <c r="P2" s="144" t="s">
        <v>25</v>
      </c>
      <c r="Q2" s="144" t="s">
        <v>26</v>
      </c>
      <c r="R2" s="144" t="s">
        <v>27</v>
      </c>
      <c r="S2" s="144" t="s">
        <v>28</v>
      </c>
      <c r="T2" s="144" t="s">
        <v>29</v>
      </c>
    </row>
    <row r="3" spans="1:31" x14ac:dyDescent="0.25">
      <c r="B3" s="48"/>
      <c r="G3" s="146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8"/>
      <c r="T3" s="149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2" customFormat="1" x14ac:dyDescent="0.25">
      <c r="A4" s="146">
        <v>211</v>
      </c>
      <c r="B4" s="48">
        <v>21101</v>
      </c>
      <c r="C4" s="268" t="s">
        <v>212</v>
      </c>
      <c r="D4" s="268"/>
      <c r="G4" s="150"/>
      <c r="H4" s="82"/>
      <c r="I4" s="85"/>
      <c r="J4" s="85"/>
      <c r="K4" s="85"/>
      <c r="L4" s="85"/>
      <c r="M4" s="85"/>
      <c r="N4" s="85"/>
      <c r="O4" s="85"/>
      <c r="P4" s="85"/>
      <c r="Q4" s="85"/>
      <c r="R4" s="85"/>
      <c r="S4" s="151"/>
      <c r="T4" s="152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2" customFormat="1" x14ac:dyDescent="0.25">
      <c r="B5" s="58"/>
      <c r="C5" s="4" t="s">
        <v>284</v>
      </c>
      <c r="D5" s="4">
        <v>1</v>
      </c>
      <c r="E5" s="5">
        <v>185</v>
      </c>
      <c r="F5" s="5">
        <f>E5*D5</f>
        <v>185</v>
      </c>
      <c r="G5" s="150"/>
      <c r="H5" s="85">
        <f>$E$5*1</f>
        <v>185</v>
      </c>
      <c r="I5" s="85">
        <f t="shared" ref="I5:S5" si="0">$E$5*0</f>
        <v>0</v>
      </c>
      <c r="J5" s="85">
        <f t="shared" si="0"/>
        <v>0</v>
      </c>
      <c r="K5" s="85">
        <f t="shared" si="0"/>
        <v>0</v>
      </c>
      <c r="L5" s="85">
        <f>$E$5*0</f>
        <v>0</v>
      </c>
      <c r="M5" s="85">
        <f t="shared" si="0"/>
        <v>0</v>
      </c>
      <c r="N5" s="85">
        <f t="shared" si="0"/>
        <v>0</v>
      </c>
      <c r="O5" s="85">
        <f t="shared" si="0"/>
        <v>0</v>
      </c>
      <c r="P5" s="85">
        <f>$E$5*0</f>
        <v>0</v>
      </c>
      <c r="Q5" s="85">
        <f t="shared" si="0"/>
        <v>0</v>
      </c>
      <c r="R5" s="85">
        <f t="shared" si="0"/>
        <v>0</v>
      </c>
      <c r="S5" s="85">
        <f t="shared" si="0"/>
        <v>0</v>
      </c>
      <c r="T5" s="152">
        <f t="shared" ref="T5:T12" si="1">SUM(H5:S5)</f>
        <v>185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2" customFormat="1" x14ac:dyDescent="0.25">
      <c r="B6" s="58"/>
      <c r="C6" s="4" t="s">
        <v>352</v>
      </c>
      <c r="D6" s="4">
        <v>1</v>
      </c>
      <c r="E6" s="5">
        <v>255</v>
      </c>
      <c r="F6" s="5">
        <f t="shared" ref="F6:F7" si="2">E6*D6</f>
        <v>255</v>
      </c>
      <c r="G6" s="150"/>
      <c r="H6" s="85">
        <f>$E$6*1</f>
        <v>255</v>
      </c>
      <c r="I6" s="85">
        <f>$E$6*0</f>
        <v>0</v>
      </c>
      <c r="J6" s="85">
        <f>$E$6*0</f>
        <v>0</v>
      </c>
      <c r="K6" s="85">
        <f t="shared" ref="K6:S6" si="3">$E$6*0</f>
        <v>0</v>
      </c>
      <c r="L6" s="85">
        <f>$E$6*0</f>
        <v>0</v>
      </c>
      <c r="M6" s="85">
        <f t="shared" si="3"/>
        <v>0</v>
      </c>
      <c r="N6" s="85">
        <f>$E$6*0</f>
        <v>0</v>
      </c>
      <c r="O6" s="85">
        <f t="shared" si="3"/>
        <v>0</v>
      </c>
      <c r="P6" s="85">
        <f>$E$6*0</f>
        <v>0</v>
      </c>
      <c r="Q6" s="85">
        <f t="shared" si="3"/>
        <v>0</v>
      </c>
      <c r="R6" s="85">
        <f>$E$6*0</f>
        <v>0</v>
      </c>
      <c r="S6" s="85">
        <f t="shared" si="3"/>
        <v>0</v>
      </c>
      <c r="T6" s="152">
        <f t="shared" si="1"/>
        <v>255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2" customFormat="1" x14ac:dyDescent="0.25">
      <c r="B7" s="58"/>
      <c r="C7" s="4" t="s">
        <v>438</v>
      </c>
      <c r="D7" s="4">
        <v>1</v>
      </c>
      <c r="E7" s="5">
        <v>829</v>
      </c>
      <c r="F7" s="5">
        <f t="shared" si="2"/>
        <v>829</v>
      </c>
      <c r="G7" s="150"/>
      <c r="H7" s="85">
        <f>$E$7*1</f>
        <v>829</v>
      </c>
      <c r="I7" s="85">
        <f t="shared" ref="I7:S7" si="4">$E$7*0</f>
        <v>0</v>
      </c>
      <c r="J7" s="85">
        <f t="shared" si="4"/>
        <v>0</v>
      </c>
      <c r="K7" s="85">
        <f t="shared" si="4"/>
        <v>0</v>
      </c>
      <c r="L7" s="85">
        <f t="shared" si="4"/>
        <v>0</v>
      </c>
      <c r="M7" s="85">
        <f>$E$7*0</f>
        <v>0</v>
      </c>
      <c r="N7" s="85">
        <f t="shared" si="4"/>
        <v>0</v>
      </c>
      <c r="O7" s="85">
        <f t="shared" si="4"/>
        <v>0</v>
      </c>
      <c r="P7" s="85">
        <f t="shared" si="4"/>
        <v>0</v>
      </c>
      <c r="Q7" s="85">
        <f t="shared" si="4"/>
        <v>0</v>
      </c>
      <c r="R7" s="85">
        <f>$E$7*0</f>
        <v>0</v>
      </c>
      <c r="S7" s="85">
        <f t="shared" si="4"/>
        <v>0</v>
      </c>
      <c r="T7" s="152">
        <f t="shared" si="1"/>
        <v>829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2" customFormat="1" x14ac:dyDescent="0.25">
      <c r="B8" s="58"/>
      <c r="C8" s="4" t="s">
        <v>439</v>
      </c>
      <c r="D8" s="4">
        <v>2</v>
      </c>
      <c r="E8" s="5">
        <v>195</v>
      </c>
      <c r="F8" s="5">
        <f t="shared" ref="F8:F11" si="5">E8*D8</f>
        <v>390</v>
      </c>
      <c r="G8" s="150"/>
      <c r="H8" s="85">
        <f>$E$8*0</f>
        <v>0</v>
      </c>
      <c r="I8" s="85">
        <f>$E$8*1</f>
        <v>195</v>
      </c>
      <c r="J8" s="85">
        <f t="shared" ref="J8:S8" si="6">$E$8*0</f>
        <v>0</v>
      </c>
      <c r="K8" s="85">
        <f t="shared" si="6"/>
        <v>0</v>
      </c>
      <c r="L8" s="85">
        <f t="shared" si="6"/>
        <v>0</v>
      </c>
      <c r="M8" s="85">
        <f>$E$8*1</f>
        <v>195</v>
      </c>
      <c r="N8" s="85">
        <f t="shared" si="6"/>
        <v>0</v>
      </c>
      <c r="O8" s="85">
        <f t="shared" si="6"/>
        <v>0</v>
      </c>
      <c r="P8" s="85">
        <f t="shared" si="6"/>
        <v>0</v>
      </c>
      <c r="Q8" s="85">
        <f>$E$8*0</f>
        <v>0</v>
      </c>
      <c r="R8" s="85">
        <f t="shared" si="6"/>
        <v>0</v>
      </c>
      <c r="S8" s="85">
        <f t="shared" si="6"/>
        <v>0</v>
      </c>
      <c r="T8" s="152">
        <f t="shared" si="1"/>
        <v>390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2" customFormat="1" x14ac:dyDescent="0.25">
      <c r="B9" s="58"/>
      <c r="C9" s="4" t="s">
        <v>353</v>
      </c>
      <c r="D9" s="4">
        <v>1</v>
      </c>
      <c r="E9" s="5">
        <v>129</v>
      </c>
      <c r="F9" s="5">
        <f t="shared" si="5"/>
        <v>129</v>
      </c>
      <c r="G9" s="150"/>
      <c r="H9" s="85">
        <f>$E$9*0</f>
        <v>0</v>
      </c>
      <c r="I9" s="85">
        <f>$E$9*1</f>
        <v>129</v>
      </c>
      <c r="J9" s="85">
        <f>$E$9*0</f>
        <v>0</v>
      </c>
      <c r="K9" s="85">
        <f t="shared" ref="K9:S9" si="7">$E$9*0</f>
        <v>0</v>
      </c>
      <c r="L9" s="85">
        <f t="shared" si="7"/>
        <v>0</v>
      </c>
      <c r="M9" s="85">
        <f>$E$9*0</f>
        <v>0</v>
      </c>
      <c r="N9" s="85">
        <f t="shared" si="7"/>
        <v>0</v>
      </c>
      <c r="O9" s="85">
        <f t="shared" si="7"/>
        <v>0</v>
      </c>
      <c r="P9" s="85">
        <f t="shared" si="7"/>
        <v>0</v>
      </c>
      <c r="Q9" s="85">
        <f>$E$9*0</f>
        <v>0</v>
      </c>
      <c r="R9" s="85">
        <f t="shared" si="7"/>
        <v>0</v>
      </c>
      <c r="S9" s="85">
        <f t="shared" si="7"/>
        <v>0</v>
      </c>
      <c r="T9" s="152">
        <f t="shared" ref="T9" si="8">SUM(H9:S9)</f>
        <v>129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2" customFormat="1" x14ac:dyDescent="0.25">
      <c r="B10" s="58"/>
      <c r="C10" s="4" t="s">
        <v>440</v>
      </c>
      <c r="D10" s="4">
        <v>2</v>
      </c>
      <c r="E10" s="5">
        <v>29</v>
      </c>
      <c r="F10" s="5">
        <f t="shared" si="5"/>
        <v>58</v>
      </c>
      <c r="G10" s="150"/>
      <c r="H10" s="85">
        <f>$E$10*1</f>
        <v>29</v>
      </c>
      <c r="I10" s="85">
        <f>$E$10*0</f>
        <v>0</v>
      </c>
      <c r="J10" s="85">
        <f>$E$10*1</f>
        <v>29</v>
      </c>
      <c r="K10" s="85">
        <f t="shared" ref="K10:S10" si="9">$E$10*0</f>
        <v>0</v>
      </c>
      <c r="L10" s="85">
        <f>$E$10*0</f>
        <v>0</v>
      </c>
      <c r="M10" s="85">
        <f>$E$10*0</f>
        <v>0</v>
      </c>
      <c r="N10" s="85">
        <f t="shared" si="9"/>
        <v>0</v>
      </c>
      <c r="O10" s="85">
        <f>$E$10*0</f>
        <v>0</v>
      </c>
      <c r="P10" s="85">
        <f>$E$10*0</f>
        <v>0</v>
      </c>
      <c r="Q10" s="85">
        <f>$E$10*0</f>
        <v>0</v>
      </c>
      <c r="R10" s="85">
        <f t="shared" si="9"/>
        <v>0</v>
      </c>
      <c r="S10" s="85">
        <f t="shared" si="9"/>
        <v>0</v>
      </c>
      <c r="T10" s="152">
        <f>SUM(H10:S10)</f>
        <v>58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s="2" customFormat="1" x14ac:dyDescent="0.25">
      <c r="B11" s="58"/>
      <c r="C11" s="4" t="s">
        <v>332</v>
      </c>
      <c r="D11" s="4">
        <v>3</v>
      </c>
      <c r="E11" s="5">
        <v>48</v>
      </c>
      <c r="F11" s="5">
        <f t="shared" si="5"/>
        <v>144</v>
      </c>
      <c r="G11" s="150"/>
      <c r="H11" s="85">
        <f>$E$11*1</f>
        <v>48</v>
      </c>
      <c r="I11" s="85">
        <f t="shared" ref="I11:S11" si="10">$E$11*0</f>
        <v>0</v>
      </c>
      <c r="J11" s="85">
        <f>$E$11*0</f>
        <v>0</v>
      </c>
      <c r="K11" s="85">
        <f t="shared" si="10"/>
        <v>0</v>
      </c>
      <c r="L11" s="85">
        <f>$E$11*1</f>
        <v>48</v>
      </c>
      <c r="M11" s="85">
        <f t="shared" si="10"/>
        <v>0</v>
      </c>
      <c r="N11" s="85">
        <f t="shared" si="10"/>
        <v>0</v>
      </c>
      <c r="O11" s="85">
        <f t="shared" si="10"/>
        <v>0</v>
      </c>
      <c r="P11" s="85">
        <f t="shared" si="10"/>
        <v>0</v>
      </c>
      <c r="Q11" s="85">
        <f>$E$11*1</f>
        <v>48</v>
      </c>
      <c r="R11" s="85">
        <f t="shared" si="10"/>
        <v>0</v>
      </c>
      <c r="S11" s="85">
        <f t="shared" si="10"/>
        <v>0</v>
      </c>
      <c r="T11" s="152">
        <f t="shared" si="1"/>
        <v>144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2" customFormat="1" x14ac:dyDescent="0.25">
      <c r="B12" s="58"/>
      <c r="C12" s="4" t="s">
        <v>333</v>
      </c>
      <c r="D12" s="4">
        <v>3</v>
      </c>
      <c r="E12" s="5">
        <v>48</v>
      </c>
      <c r="F12" s="5">
        <f t="shared" ref="F12" si="11">E12*D12</f>
        <v>144</v>
      </c>
      <c r="G12" s="150"/>
      <c r="H12" s="85">
        <f>$E$12*1</f>
        <v>48</v>
      </c>
      <c r="I12" s="85">
        <f t="shared" ref="I12:S12" si="12">$E$12*0</f>
        <v>0</v>
      </c>
      <c r="J12" s="85">
        <f>$E$12*0</f>
        <v>0</v>
      </c>
      <c r="K12" s="85">
        <f t="shared" si="12"/>
        <v>0</v>
      </c>
      <c r="L12" s="85">
        <f>$E$12*1</f>
        <v>48</v>
      </c>
      <c r="M12" s="85">
        <f t="shared" si="12"/>
        <v>0</v>
      </c>
      <c r="N12" s="85">
        <f t="shared" si="12"/>
        <v>0</v>
      </c>
      <c r="O12" s="85">
        <f>$E$12*1</f>
        <v>48</v>
      </c>
      <c r="P12" s="85">
        <f t="shared" si="12"/>
        <v>0</v>
      </c>
      <c r="Q12" s="85">
        <f t="shared" si="12"/>
        <v>0</v>
      </c>
      <c r="R12" s="85">
        <f t="shared" si="12"/>
        <v>0</v>
      </c>
      <c r="S12" s="85">
        <f t="shared" si="12"/>
        <v>0</v>
      </c>
      <c r="T12" s="152">
        <f t="shared" si="1"/>
        <v>144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2" customFormat="1" x14ac:dyDescent="0.25">
      <c r="B13" s="58"/>
      <c r="C13" s="4" t="s">
        <v>442</v>
      </c>
      <c r="D13" s="4">
        <v>2</v>
      </c>
      <c r="E13" s="5">
        <v>48</v>
      </c>
      <c r="F13" s="5">
        <f t="shared" ref="F13" si="13">E13*D13</f>
        <v>96</v>
      </c>
      <c r="G13" s="150"/>
      <c r="H13" s="85">
        <f>$E$13*0</f>
        <v>0</v>
      </c>
      <c r="I13" s="85">
        <f>$E$13*1</f>
        <v>48</v>
      </c>
      <c r="J13" s="85">
        <f t="shared" ref="J13:R13" si="14">$E$13*0</f>
        <v>0</v>
      </c>
      <c r="K13" s="85">
        <f t="shared" si="14"/>
        <v>0</v>
      </c>
      <c r="L13" s="85">
        <f t="shared" si="14"/>
        <v>0</v>
      </c>
      <c r="M13" s="85">
        <f t="shared" si="14"/>
        <v>0</v>
      </c>
      <c r="N13" s="85">
        <f>$E$13*0</f>
        <v>0</v>
      </c>
      <c r="O13" s="85">
        <f t="shared" si="14"/>
        <v>0</v>
      </c>
      <c r="P13" s="85">
        <f>$E$13*1</f>
        <v>48</v>
      </c>
      <c r="Q13" s="85">
        <f t="shared" si="14"/>
        <v>0</v>
      </c>
      <c r="R13" s="85">
        <f t="shared" si="14"/>
        <v>0</v>
      </c>
      <c r="S13" s="85">
        <f>$E$13*0</f>
        <v>0</v>
      </c>
      <c r="T13" s="152">
        <f t="shared" ref="T13" si="15">SUM(H13:S13)</f>
        <v>96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2" customFormat="1" x14ac:dyDescent="0.25">
      <c r="B14" s="48"/>
      <c r="C14" s="4" t="s">
        <v>441</v>
      </c>
      <c r="D14" s="4">
        <v>2</v>
      </c>
      <c r="E14" s="5">
        <v>30</v>
      </c>
      <c r="F14" s="5">
        <f t="shared" ref="F14:F15" si="16">E14*D14</f>
        <v>60</v>
      </c>
      <c r="G14" s="146"/>
      <c r="H14" s="85">
        <f>$E$14*0</f>
        <v>0</v>
      </c>
      <c r="I14" s="85">
        <f>$E$14*1</f>
        <v>30</v>
      </c>
      <c r="J14" s="85">
        <f t="shared" ref="J14:S14" si="17">$E$14*0</f>
        <v>0</v>
      </c>
      <c r="K14" s="85">
        <f>$E$14*0</f>
        <v>0</v>
      </c>
      <c r="L14" s="85">
        <f t="shared" si="17"/>
        <v>0</v>
      </c>
      <c r="M14" s="85">
        <f t="shared" si="17"/>
        <v>0</v>
      </c>
      <c r="N14" s="85">
        <f>$E$14*0</f>
        <v>0</v>
      </c>
      <c r="O14" s="85">
        <f t="shared" si="17"/>
        <v>0</v>
      </c>
      <c r="P14" s="85">
        <f t="shared" si="17"/>
        <v>0</v>
      </c>
      <c r="Q14" s="85">
        <f>$E$14*1</f>
        <v>30</v>
      </c>
      <c r="R14" s="85">
        <f t="shared" si="17"/>
        <v>0</v>
      </c>
      <c r="S14" s="85">
        <f t="shared" si="17"/>
        <v>0</v>
      </c>
      <c r="T14" s="152">
        <f>SUM(H14:S14)</f>
        <v>60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s="2" customFormat="1" x14ac:dyDescent="0.25">
      <c r="B15" s="48"/>
      <c r="C15" s="4" t="s">
        <v>285</v>
      </c>
      <c r="D15" s="4">
        <v>9</v>
      </c>
      <c r="E15" s="5">
        <v>36</v>
      </c>
      <c r="F15" s="5">
        <f t="shared" si="16"/>
        <v>324</v>
      </c>
      <c r="G15" s="146"/>
      <c r="H15" s="85">
        <f>$E$15*4</f>
        <v>144</v>
      </c>
      <c r="I15" s="85">
        <f>$E$15*4</f>
        <v>144</v>
      </c>
      <c r="J15" s="85">
        <f>$E$15*1</f>
        <v>36</v>
      </c>
      <c r="K15" s="85">
        <f>$E$15*0</f>
        <v>0</v>
      </c>
      <c r="L15" s="85">
        <f t="shared" ref="L15:S15" si="18">$E$15*0</f>
        <v>0</v>
      </c>
      <c r="M15" s="85">
        <f t="shared" si="18"/>
        <v>0</v>
      </c>
      <c r="N15" s="85">
        <f t="shared" si="18"/>
        <v>0</v>
      </c>
      <c r="O15" s="85">
        <f t="shared" si="18"/>
        <v>0</v>
      </c>
      <c r="P15" s="85">
        <f t="shared" si="18"/>
        <v>0</v>
      </c>
      <c r="Q15" s="85">
        <f t="shared" si="18"/>
        <v>0</v>
      </c>
      <c r="R15" s="85">
        <f t="shared" si="18"/>
        <v>0</v>
      </c>
      <c r="S15" s="85">
        <f t="shared" si="18"/>
        <v>0</v>
      </c>
      <c r="T15" s="152">
        <f>SUM(H15:S15)</f>
        <v>324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s="2" customFormat="1" x14ac:dyDescent="0.25">
      <c r="B16" s="48"/>
      <c r="C16" s="4" t="s">
        <v>443</v>
      </c>
      <c r="D16" s="4">
        <v>12</v>
      </c>
      <c r="E16" s="5">
        <v>21</v>
      </c>
      <c r="F16" s="5">
        <f t="shared" ref="F16:F21" si="19">E16*D16</f>
        <v>252</v>
      </c>
      <c r="G16" s="146"/>
      <c r="H16" s="85">
        <f>$E$16*4</f>
        <v>84</v>
      </c>
      <c r="I16" s="85">
        <f t="shared" ref="I16:S16" si="20">$E$16*0</f>
        <v>0</v>
      </c>
      <c r="J16" s="85">
        <f>$E$16*4</f>
        <v>84</v>
      </c>
      <c r="K16" s="85">
        <f>$E$16*2</f>
        <v>42</v>
      </c>
      <c r="L16" s="85">
        <f>$E$16*2</f>
        <v>42</v>
      </c>
      <c r="M16" s="85">
        <f t="shared" si="20"/>
        <v>0</v>
      </c>
      <c r="N16" s="85">
        <f t="shared" si="20"/>
        <v>0</v>
      </c>
      <c r="O16" s="85">
        <f t="shared" si="20"/>
        <v>0</v>
      </c>
      <c r="P16" s="85">
        <f t="shared" si="20"/>
        <v>0</v>
      </c>
      <c r="Q16" s="85">
        <f t="shared" si="20"/>
        <v>0</v>
      </c>
      <c r="R16" s="85">
        <f t="shared" si="20"/>
        <v>0</v>
      </c>
      <c r="S16" s="85">
        <f t="shared" si="20"/>
        <v>0</v>
      </c>
      <c r="T16" s="152">
        <f t="shared" ref="T16:T21" si="21">SUM(H16:S16)</f>
        <v>252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2" customFormat="1" x14ac:dyDescent="0.25">
      <c r="B17" s="48"/>
      <c r="C17" s="4" t="s">
        <v>444</v>
      </c>
      <c r="D17" s="4">
        <v>1</v>
      </c>
      <c r="E17" s="5">
        <v>120</v>
      </c>
      <c r="F17" s="5">
        <f t="shared" si="19"/>
        <v>120</v>
      </c>
      <c r="G17" s="146"/>
      <c r="H17" s="85">
        <f>$E$17*1</f>
        <v>120</v>
      </c>
      <c r="I17" s="85">
        <f>$E$17*0</f>
        <v>0</v>
      </c>
      <c r="J17" s="85">
        <f>$E$17*0</f>
        <v>0</v>
      </c>
      <c r="K17" s="85">
        <f>$E$17*0</f>
        <v>0</v>
      </c>
      <c r="L17" s="85">
        <f t="shared" ref="L17:S17" si="22">$E$17*0</f>
        <v>0</v>
      </c>
      <c r="M17" s="85">
        <f t="shared" si="22"/>
        <v>0</v>
      </c>
      <c r="N17" s="85">
        <f t="shared" si="22"/>
        <v>0</v>
      </c>
      <c r="O17" s="85">
        <f t="shared" si="22"/>
        <v>0</v>
      </c>
      <c r="P17" s="85">
        <f t="shared" si="22"/>
        <v>0</v>
      </c>
      <c r="Q17" s="85">
        <f t="shared" si="22"/>
        <v>0</v>
      </c>
      <c r="R17" s="85">
        <f t="shared" si="22"/>
        <v>0</v>
      </c>
      <c r="S17" s="85">
        <f t="shared" si="22"/>
        <v>0</v>
      </c>
      <c r="T17" s="152">
        <f t="shared" si="21"/>
        <v>120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2" customFormat="1" x14ac:dyDescent="0.25">
      <c r="B18" s="48"/>
      <c r="C18" s="4" t="s">
        <v>305</v>
      </c>
      <c r="D18" s="4">
        <v>100</v>
      </c>
      <c r="E18" s="5">
        <v>85</v>
      </c>
      <c r="F18" s="5">
        <f t="shared" si="19"/>
        <v>8500</v>
      </c>
      <c r="G18" s="146"/>
      <c r="H18" s="85">
        <f>$E$18*0</f>
        <v>0</v>
      </c>
      <c r="I18" s="85">
        <f>$E$18*50</f>
        <v>4250</v>
      </c>
      <c r="J18" s="85">
        <f>$E$18*50</f>
        <v>4250</v>
      </c>
      <c r="K18" s="85">
        <f t="shared" ref="K18:S18" si="23">$E$18*0</f>
        <v>0</v>
      </c>
      <c r="L18" s="85">
        <f t="shared" si="23"/>
        <v>0</v>
      </c>
      <c r="M18" s="85">
        <f t="shared" si="23"/>
        <v>0</v>
      </c>
      <c r="N18" s="85">
        <f>$E$18*0</f>
        <v>0</v>
      </c>
      <c r="O18" s="85">
        <f t="shared" si="23"/>
        <v>0</v>
      </c>
      <c r="P18" s="85">
        <f t="shared" si="23"/>
        <v>0</v>
      </c>
      <c r="Q18" s="85">
        <f t="shared" si="23"/>
        <v>0</v>
      </c>
      <c r="R18" s="85">
        <f t="shared" si="23"/>
        <v>0</v>
      </c>
      <c r="S18" s="85">
        <f t="shared" si="23"/>
        <v>0</v>
      </c>
      <c r="T18" s="152">
        <f t="shared" si="21"/>
        <v>8500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s="2" customFormat="1" x14ac:dyDescent="0.25">
      <c r="B19" s="48"/>
      <c r="C19" s="4" t="s">
        <v>306</v>
      </c>
      <c r="D19" s="4">
        <v>100</v>
      </c>
      <c r="E19" s="5">
        <v>115</v>
      </c>
      <c r="F19" s="5">
        <f t="shared" si="19"/>
        <v>11500</v>
      </c>
      <c r="G19" s="146"/>
      <c r="H19" s="85">
        <f>$E$19*0</f>
        <v>0</v>
      </c>
      <c r="I19" s="85">
        <f>$E$19*50</f>
        <v>5750</v>
      </c>
      <c r="J19" s="85">
        <f>$E$19*50</f>
        <v>5750</v>
      </c>
      <c r="K19" s="85">
        <f>$E$19*0</f>
        <v>0</v>
      </c>
      <c r="L19" s="85">
        <f t="shared" ref="L19:S19" si="24">$E$19*0</f>
        <v>0</v>
      </c>
      <c r="M19" s="85">
        <f t="shared" si="24"/>
        <v>0</v>
      </c>
      <c r="N19" s="85">
        <f t="shared" si="24"/>
        <v>0</v>
      </c>
      <c r="O19" s="85">
        <f>$E$19*0</f>
        <v>0</v>
      </c>
      <c r="P19" s="85">
        <f t="shared" si="24"/>
        <v>0</v>
      </c>
      <c r="Q19" s="85">
        <f t="shared" si="24"/>
        <v>0</v>
      </c>
      <c r="R19" s="85">
        <f t="shared" si="24"/>
        <v>0</v>
      </c>
      <c r="S19" s="85">
        <f t="shared" si="24"/>
        <v>0</v>
      </c>
      <c r="T19" s="152">
        <f t="shared" si="21"/>
        <v>11500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s="2" customFormat="1" x14ac:dyDescent="0.25">
      <c r="B20" s="48"/>
      <c r="C20" s="4" t="s">
        <v>445</v>
      </c>
      <c r="D20" s="4">
        <v>2</v>
      </c>
      <c r="E20" s="5">
        <v>165</v>
      </c>
      <c r="F20" s="5">
        <f t="shared" si="19"/>
        <v>330</v>
      </c>
      <c r="G20" s="146"/>
      <c r="H20" s="85">
        <f>$E$20*0</f>
        <v>0</v>
      </c>
      <c r="I20" s="85">
        <f>$E$20*1</f>
        <v>165</v>
      </c>
      <c r="J20" s="85">
        <f t="shared" ref="J20:S20" si="25">$E$20*0</f>
        <v>0</v>
      </c>
      <c r="K20" s="85">
        <f t="shared" si="25"/>
        <v>0</v>
      </c>
      <c r="L20" s="85">
        <f>$E$20*1</f>
        <v>165</v>
      </c>
      <c r="M20" s="85">
        <f t="shared" si="25"/>
        <v>0</v>
      </c>
      <c r="N20" s="85">
        <f t="shared" si="25"/>
        <v>0</v>
      </c>
      <c r="O20" s="85">
        <f t="shared" si="25"/>
        <v>0</v>
      </c>
      <c r="P20" s="85">
        <f>$E$20*0</f>
        <v>0</v>
      </c>
      <c r="Q20" s="85">
        <f t="shared" si="25"/>
        <v>0</v>
      </c>
      <c r="R20" s="85">
        <f t="shared" si="25"/>
        <v>0</v>
      </c>
      <c r="S20" s="85">
        <f t="shared" si="25"/>
        <v>0</v>
      </c>
      <c r="T20" s="152">
        <f t="shared" si="21"/>
        <v>330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2" customFormat="1" x14ac:dyDescent="0.25">
      <c r="B21" s="48"/>
      <c r="C21" s="4" t="s">
        <v>446</v>
      </c>
      <c r="D21" s="4">
        <v>1</v>
      </c>
      <c r="E21" s="5">
        <v>175</v>
      </c>
      <c r="F21" s="5">
        <f t="shared" si="19"/>
        <v>175</v>
      </c>
      <c r="G21" s="146"/>
      <c r="H21" s="85">
        <f>$E$21*0</f>
        <v>0</v>
      </c>
      <c r="I21" s="85">
        <f>$E$21*1</f>
        <v>175</v>
      </c>
      <c r="J21" s="85">
        <f t="shared" ref="J21:S21" si="26">$E$21*0</f>
        <v>0</v>
      </c>
      <c r="K21" s="85">
        <f t="shared" si="26"/>
        <v>0</v>
      </c>
      <c r="L21" s="85">
        <f t="shared" si="26"/>
        <v>0</v>
      </c>
      <c r="M21" s="85">
        <f>$E$21*0</f>
        <v>0</v>
      </c>
      <c r="N21" s="85">
        <f t="shared" si="26"/>
        <v>0</v>
      </c>
      <c r="O21" s="85">
        <f t="shared" si="26"/>
        <v>0</v>
      </c>
      <c r="P21" s="85">
        <f t="shared" si="26"/>
        <v>0</v>
      </c>
      <c r="Q21" s="85">
        <f>$E$21*0</f>
        <v>0</v>
      </c>
      <c r="R21" s="85">
        <f t="shared" si="26"/>
        <v>0</v>
      </c>
      <c r="S21" s="85">
        <f t="shared" si="26"/>
        <v>0</v>
      </c>
      <c r="T21" s="152">
        <f t="shared" si="21"/>
        <v>175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s="2" customFormat="1" x14ac:dyDescent="0.25">
      <c r="B22" s="48"/>
      <c r="C22" s="4" t="s">
        <v>447</v>
      </c>
      <c r="D22" s="4">
        <v>4</v>
      </c>
      <c r="E22" s="5">
        <v>62</v>
      </c>
      <c r="F22" s="5">
        <f t="shared" ref="F22:F25" si="27">E22*D22</f>
        <v>248</v>
      </c>
      <c r="G22" s="146"/>
      <c r="H22" s="85">
        <f>$E$22*0</f>
        <v>0</v>
      </c>
      <c r="I22" s="85">
        <f>$E$22*1</f>
        <v>62</v>
      </c>
      <c r="J22" s="85">
        <f>$E$22*1</f>
        <v>62</v>
      </c>
      <c r="K22" s="85">
        <f>$E$22*1</f>
        <v>62</v>
      </c>
      <c r="L22" s="85">
        <f t="shared" ref="L22:R22" si="28">$E$22*0</f>
        <v>0</v>
      </c>
      <c r="M22" s="85">
        <f t="shared" si="28"/>
        <v>0</v>
      </c>
      <c r="N22" s="85">
        <f>$E$22*1</f>
        <v>62</v>
      </c>
      <c r="O22" s="85">
        <f t="shared" si="28"/>
        <v>0</v>
      </c>
      <c r="P22" s="85">
        <f t="shared" si="28"/>
        <v>0</v>
      </c>
      <c r="Q22" s="85">
        <f>$E$22*0</f>
        <v>0</v>
      </c>
      <c r="R22" s="85">
        <f t="shared" si="28"/>
        <v>0</v>
      </c>
      <c r="S22" s="85">
        <f>$E$22*0</f>
        <v>0</v>
      </c>
      <c r="T22" s="152">
        <f t="shared" ref="T22:T25" si="29">SUM(H22:S22)</f>
        <v>248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2" customFormat="1" x14ac:dyDescent="0.25">
      <c r="B23" s="48"/>
      <c r="C23" s="4" t="s">
        <v>354</v>
      </c>
      <c r="D23" s="4">
        <v>10</v>
      </c>
      <c r="E23" s="5">
        <v>18</v>
      </c>
      <c r="F23" s="5">
        <f t="shared" si="27"/>
        <v>180</v>
      </c>
      <c r="G23" s="146"/>
      <c r="H23" s="85">
        <f>$E$23*3</f>
        <v>54</v>
      </c>
      <c r="I23" s="85">
        <f>$E$23*2</f>
        <v>36</v>
      </c>
      <c r="J23" s="85">
        <f>$E$23*2</f>
        <v>36</v>
      </c>
      <c r="K23" s="85">
        <f>$E$23*2</f>
        <v>36</v>
      </c>
      <c r="L23" s="85">
        <f>$E$23*1</f>
        <v>18</v>
      </c>
      <c r="M23" s="85">
        <f>$E$23*0</f>
        <v>0</v>
      </c>
      <c r="N23" s="85">
        <f>$E$23*0</f>
        <v>0</v>
      </c>
      <c r="O23" s="85">
        <f>$E$23*0</f>
        <v>0</v>
      </c>
      <c r="P23" s="85">
        <f t="shared" ref="P23:S23" si="30">$E$23*0</f>
        <v>0</v>
      </c>
      <c r="Q23" s="85">
        <f t="shared" si="30"/>
        <v>0</v>
      </c>
      <c r="R23" s="85">
        <f t="shared" si="30"/>
        <v>0</v>
      </c>
      <c r="S23" s="85">
        <f t="shared" si="30"/>
        <v>0</v>
      </c>
      <c r="T23" s="152">
        <f t="shared" si="29"/>
        <v>180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s="2" customFormat="1" x14ac:dyDescent="0.25">
      <c r="B24" s="48"/>
      <c r="C24" s="4" t="s">
        <v>448</v>
      </c>
      <c r="D24" s="4">
        <v>2</v>
      </c>
      <c r="E24" s="5">
        <v>58</v>
      </c>
      <c r="F24" s="5">
        <f t="shared" si="27"/>
        <v>116</v>
      </c>
      <c r="G24" s="146"/>
      <c r="H24" s="85">
        <f>$E$24*1</f>
        <v>58</v>
      </c>
      <c r="I24" s="85">
        <f t="shared" ref="I24:S24" si="31">$E$24*0</f>
        <v>0</v>
      </c>
      <c r="J24" s="85">
        <f>$E$24*1</f>
        <v>58</v>
      </c>
      <c r="K24" s="85">
        <f t="shared" si="31"/>
        <v>0</v>
      </c>
      <c r="L24" s="85">
        <f t="shared" si="31"/>
        <v>0</v>
      </c>
      <c r="M24" s="85">
        <f t="shared" si="31"/>
        <v>0</v>
      </c>
      <c r="N24" s="85">
        <f t="shared" si="31"/>
        <v>0</v>
      </c>
      <c r="O24" s="85">
        <f t="shared" si="31"/>
        <v>0</v>
      </c>
      <c r="P24" s="85">
        <f>$E$24*0</f>
        <v>0</v>
      </c>
      <c r="Q24" s="85">
        <f t="shared" si="31"/>
        <v>0</v>
      </c>
      <c r="R24" s="85">
        <f t="shared" si="31"/>
        <v>0</v>
      </c>
      <c r="S24" s="85">
        <f t="shared" si="31"/>
        <v>0</v>
      </c>
      <c r="T24" s="152">
        <f t="shared" si="29"/>
        <v>116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2" customFormat="1" x14ac:dyDescent="0.25">
      <c r="B25" s="48"/>
      <c r="C25" s="4" t="s">
        <v>449</v>
      </c>
      <c r="D25" s="4">
        <v>1</v>
      </c>
      <c r="E25" s="5">
        <v>165</v>
      </c>
      <c r="F25" s="5">
        <f t="shared" si="27"/>
        <v>165</v>
      </c>
      <c r="G25" s="146"/>
      <c r="H25" s="85">
        <f>$E$25*0</f>
        <v>0</v>
      </c>
      <c r="I25" s="85">
        <f>$E$25*1</f>
        <v>165</v>
      </c>
      <c r="J25" s="85">
        <f t="shared" ref="J25:S25" si="32">$E$25*0</f>
        <v>0</v>
      </c>
      <c r="K25" s="85">
        <f t="shared" si="32"/>
        <v>0</v>
      </c>
      <c r="L25" s="85">
        <f>$E$25*0</f>
        <v>0</v>
      </c>
      <c r="M25" s="85">
        <f t="shared" si="32"/>
        <v>0</v>
      </c>
      <c r="N25" s="85">
        <f t="shared" si="32"/>
        <v>0</v>
      </c>
      <c r="O25" s="85">
        <f t="shared" si="32"/>
        <v>0</v>
      </c>
      <c r="P25" s="85">
        <f t="shared" si="32"/>
        <v>0</v>
      </c>
      <c r="Q25" s="85">
        <f t="shared" si="32"/>
        <v>0</v>
      </c>
      <c r="R25" s="85">
        <f t="shared" si="32"/>
        <v>0</v>
      </c>
      <c r="S25" s="85">
        <f t="shared" si="32"/>
        <v>0</v>
      </c>
      <c r="T25" s="152">
        <f t="shared" si="29"/>
        <v>165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2" customFormat="1" x14ac:dyDescent="0.25">
      <c r="B26" s="48"/>
      <c r="C26" s="4" t="s">
        <v>450</v>
      </c>
      <c r="D26" s="4">
        <v>3</v>
      </c>
      <c r="E26" s="5">
        <v>16</v>
      </c>
      <c r="F26" s="5">
        <f t="shared" ref="F26:F29" si="33">E26*D26</f>
        <v>48</v>
      </c>
      <c r="G26" s="146"/>
      <c r="H26" s="85">
        <f>$E$26*1</f>
        <v>16</v>
      </c>
      <c r="I26" s="85">
        <f>$E$26*0</f>
        <v>0</v>
      </c>
      <c r="J26" s="85">
        <f>$E$26*1</f>
        <v>16</v>
      </c>
      <c r="K26" s="85">
        <f t="shared" ref="K26:S26" si="34">$E$26*0</f>
        <v>0</v>
      </c>
      <c r="L26" s="85">
        <f>$E$26*0</f>
        <v>0</v>
      </c>
      <c r="M26" s="85">
        <f>$E$26*1</f>
        <v>16</v>
      </c>
      <c r="N26" s="85">
        <f>$E$26*0</f>
        <v>0</v>
      </c>
      <c r="O26" s="85">
        <f t="shared" si="34"/>
        <v>0</v>
      </c>
      <c r="P26" s="85">
        <f t="shared" si="34"/>
        <v>0</v>
      </c>
      <c r="Q26" s="85">
        <f t="shared" si="34"/>
        <v>0</v>
      </c>
      <c r="R26" s="85">
        <f t="shared" si="34"/>
        <v>0</v>
      </c>
      <c r="S26" s="85">
        <f t="shared" si="34"/>
        <v>0</v>
      </c>
      <c r="T26" s="152">
        <f t="shared" ref="T26:T29" si="35">SUM(H26:S26)</f>
        <v>48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2" customFormat="1" x14ac:dyDescent="0.25">
      <c r="B27" s="48"/>
      <c r="C27" s="4" t="s">
        <v>451</v>
      </c>
      <c r="D27" s="4">
        <v>5</v>
      </c>
      <c r="E27" s="5">
        <v>27</v>
      </c>
      <c r="F27" s="5">
        <f t="shared" si="33"/>
        <v>135</v>
      </c>
      <c r="G27" s="146"/>
      <c r="H27" s="85">
        <f>$E$27*1</f>
        <v>27</v>
      </c>
      <c r="I27" s="85">
        <f>$E$27*2</f>
        <v>54</v>
      </c>
      <c r="J27" s="85">
        <f>$E$27*2</f>
        <v>54</v>
      </c>
      <c r="K27" s="85">
        <f>$E$27*0</f>
        <v>0</v>
      </c>
      <c r="L27" s="85">
        <f>$E$27*0</f>
        <v>0</v>
      </c>
      <c r="M27" s="85">
        <f>$E$27*0</f>
        <v>0</v>
      </c>
      <c r="N27" s="85">
        <f>$E$27*0</f>
        <v>0</v>
      </c>
      <c r="O27" s="85">
        <f t="shared" ref="O27:R27" si="36">$E$27*0</f>
        <v>0</v>
      </c>
      <c r="P27" s="85">
        <f>$E$27*0</f>
        <v>0</v>
      </c>
      <c r="Q27" s="85">
        <f t="shared" si="36"/>
        <v>0</v>
      </c>
      <c r="R27" s="85">
        <f t="shared" si="36"/>
        <v>0</v>
      </c>
      <c r="S27" s="85">
        <f>$E$27*0</f>
        <v>0</v>
      </c>
      <c r="T27" s="152">
        <f t="shared" si="35"/>
        <v>135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2" customFormat="1" x14ac:dyDescent="0.25">
      <c r="B28" s="48"/>
      <c r="C28" s="4" t="s">
        <v>452</v>
      </c>
      <c r="D28" s="4">
        <v>10</v>
      </c>
      <c r="E28" s="5">
        <v>40</v>
      </c>
      <c r="F28" s="5">
        <f t="shared" si="33"/>
        <v>400</v>
      </c>
      <c r="G28" s="146"/>
      <c r="H28" s="85">
        <f>$E$28*2</f>
        <v>80</v>
      </c>
      <c r="I28" s="85">
        <f>$E$28*2</f>
        <v>80</v>
      </c>
      <c r="J28" s="85">
        <f>$E$28*2</f>
        <v>80</v>
      </c>
      <c r="K28" s="85">
        <f>$E$28*2</f>
        <v>80</v>
      </c>
      <c r="L28" s="85">
        <f t="shared" ref="L28" si="37">$E$28*1</f>
        <v>40</v>
      </c>
      <c r="M28" s="85">
        <f>$E$28*1</f>
        <v>40</v>
      </c>
      <c r="N28" s="85">
        <f t="shared" ref="N28:S28" si="38">$E$28*0</f>
        <v>0</v>
      </c>
      <c r="O28" s="85">
        <f>$E$28*0</f>
        <v>0</v>
      </c>
      <c r="P28" s="85">
        <f t="shared" si="38"/>
        <v>0</v>
      </c>
      <c r="Q28" s="85">
        <f>$E$28*0</f>
        <v>0</v>
      </c>
      <c r="R28" s="85">
        <f>$E$28*0</f>
        <v>0</v>
      </c>
      <c r="S28" s="85">
        <f t="shared" si="38"/>
        <v>0</v>
      </c>
      <c r="T28" s="152">
        <f t="shared" si="35"/>
        <v>400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2" customFormat="1" ht="13.8" thickBot="1" x14ac:dyDescent="0.3">
      <c r="B29" s="48"/>
      <c r="C29" s="4" t="s">
        <v>453</v>
      </c>
      <c r="D29" s="4">
        <v>5</v>
      </c>
      <c r="E29" s="5">
        <v>17</v>
      </c>
      <c r="F29" s="5">
        <f t="shared" si="33"/>
        <v>85</v>
      </c>
      <c r="G29" s="146"/>
      <c r="H29" s="85">
        <f>$E$29*5</f>
        <v>85</v>
      </c>
      <c r="I29" s="85">
        <f t="shared" ref="I29:O29" si="39">$E$29*0</f>
        <v>0</v>
      </c>
      <c r="J29" s="85">
        <f t="shared" si="39"/>
        <v>0</v>
      </c>
      <c r="K29" s="85">
        <f t="shared" si="39"/>
        <v>0</v>
      </c>
      <c r="L29" s="85">
        <f t="shared" si="39"/>
        <v>0</v>
      </c>
      <c r="M29" s="85">
        <f t="shared" si="39"/>
        <v>0</v>
      </c>
      <c r="N29" s="85">
        <f t="shared" si="39"/>
        <v>0</v>
      </c>
      <c r="O29" s="85">
        <f t="shared" si="39"/>
        <v>0</v>
      </c>
      <c r="P29" s="85">
        <f t="shared" ref="P29:S29" si="40">$E$29*0</f>
        <v>0</v>
      </c>
      <c r="Q29" s="85">
        <f t="shared" si="40"/>
        <v>0</v>
      </c>
      <c r="R29" s="85">
        <f t="shared" si="40"/>
        <v>0</v>
      </c>
      <c r="S29" s="85">
        <f t="shared" si="40"/>
        <v>0</v>
      </c>
      <c r="T29" s="152">
        <f t="shared" si="35"/>
        <v>85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s="10" customFormat="1" ht="16.2" thickBot="1" x14ac:dyDescent="0.35">
      <c r="A30" s="93"/>
      <c r="B30" s="92"/>
      <c r="C30" s="264" t="s">
        <v>213</v>
      </c>
      <c r="D30" s="265"/>
      <c r="E30" s="265"/>
      <c r="F30" s="266"/>
      <c r="G30" s="94">
        <f>SUM(F5:F29)</f>
        <v>24868</v>
      </c>
      <c r="H30" s="94">
        <f>SUM(H5:H29)</f>
        <v>2062</v>
      </c>
      <c r="I30" s="94">
        <f t="shared" ref="I30:T30" si="41">SUM(I5:I29)</f>
        <v>11283</v>
      </c>
      <c r="J30" s="94">
        <f t="shared" si="41"/>
        <v>10455</v>
      </c>
      <c r="K30" s="94">
        <f t="shared" si="41"/>
        <v>220</v>
      </c>
      <c r="L30" s="94">
        <f t="shared" si="41"/>
        <v>361</v>
      </c>
      <c r="M30" s="94">
        <f t="shared" si="41"/>
        <v>251</v>
      </c>
      <c r="N30" s="94">
        <f t="shared" si="41"/>
        <v>62</v>
      </c>
      <c r="O30" s="94">
        <f t="shared" si="41"/>
        <v>48</v>
      </c>
      <c r="P30" s="94">
        <f t="shared" si="41"/>
        <v>48</v>
      </c>
      <c r="Q30" s="94">
        <f t="shared" si="41"/>
        <v>78</v>
      </c>
      <c r="R30" s="94">
        <f t="shared" si="41"/>
        <v>0</v>
      </c>
      <c r="S30" s="94">
        <f t="shared" si="41"/>
        <v>0</v>
      </c>
      <c r="T30" s="94">
        <f t="shared" si="41"/>
        <v>24868</v>
      </c>
      <c r="U30" s="14"/>
    </row>
    <row r="31" spans="1:31" x14ac:dyDescent="0.25">
      <c r="B31" s="48"/>
      <c r="G31" s="146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153"/>
      <c r="T31" s="154"/>
      <c r="U31" s="5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25">
      <c r="A32" s="4">
        <v>212</v>
      </c>
      <c r="B32" s="48">
        <v>21201</v>
      </c>
      <c r="C32" s="268" t="s">
        <v>214</v>
      </c>
      <c r="D32" s="268"/>
      <c r="G32" s="146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153"/>
      <c r="T32" s="154"/>
      <c r="U32" s="5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25">
      <c r="B33" s="48"/>
      <c r="C33" s="4" t="s">
        <v>426</v>
      </c>
      <c r="D33" s="4">
        <v>4</v>
      </c>
      <c r="E33" s="5">
        <v>270</v>
      </c>
      <c r="F33" s="5">
        <f t="shared" ref="F33:F34" si="42">E33*D33</f>
        <v>1080</v>
      </c>
      <c r="G33" s="146"/>
      <c r="H33" s="81">
        <f>$E$33*1</f>
        <v>270</v>
      </c>
      <c r="I33" s="81">
        <f>$E$33*1</f>
        <v>270</v>
      </c>
      <c r="J33" s="81">
        <f>$E$33*1</f>
        <v>270</v>
      </c>
      <c r="K33" s="81">
        <f t="shared" ref="K33:S33" si="43">$E$33*0</f>
        <v>0</v>
      </c>
      <c r="L33" s="81">
        <f t="shared" si="43"/>
        <v>0</v>
      </c>
      <c r="M33" s="81">
        <f>$E$33*1</f>
        <v>270</v>
      </c>
      <c r="N33" s="81">
        <f t="shared" si="43"/>
        <v>0</v>
      </c>
      <c r="O33" s="81">
        <f t="shared" si="43"/>
        <v>0</v>
      </c>
      <c r="P33" s="81">
        <f t="shared" si="43"/>
        <v>0</v>
      </c>
      <c r="Q33" s="81">
        <f t="shared" si="43"/>
        <v>0</v>
      </c>
      <c r="R33" s="81">
        <f t="shared" si="43"/>
        <v>0</v>
      </c>
      <c r="S33" s="81">
        <f t="shared" si="43"/>
        <v>0</v>
      </c>
      <c r="T33" s="154">
        <f t="shared" ref="T33:T36" si="44">SUM(H33:S33)</f>
        <v>1080</v>
      </c>
      <c r="U33" s="5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25">
      <c r="B34" s="48"/>
      <c r="C34" s="4" t="s">
        <v>427</v>
      </c>
      <c r="D34" s="4">
        <v>6</v>
      </c>
      <c r="E34" s="5">
        <v>1000</v>
      </c>
      <c r="F34" s="5">
        <f t="shared" si="42"/>
        <v>6000</v>
      </c>
      <c r="G34" s="146"/>
      <c r="H34" s="81">
        <f t="shared" ref="H34:M34" si="45">$E$34*1</f>
        <v>1000</v>
      </c>
      <c r="I34" s="81">
        <f t="shared" si="45"/>
        <v>1000</v>
      </c>
      <c r="J34" s="81">
        <f t="shared" si="45"/>
        <v>1000</v>
      </c>
      <c r="K34" s="81">
        <f t="shared" si="45"/>
        <v>1000</v>
      </c>
      <c r="L34" s="81">
        <f t="shared" si="45"/>
        <v>1000</v>
      </c>
      <c r="M34" s="81">
        <f t="shared" si="45"/>
        <v>1000</v>
      </c>
      <c r="N34" s="81">
        <f t="shared" ref="N34:S34" si="46">$E$34*0</f>
        <v>0</v>
      </c>
      <c r="O34" s="81">
        <f t="shared" si="46"/>
        <v>0</v>
      </c>
      <c r="P34" s="81">
        <f t="shared" si="46"/>
        <v>0</v>
      </c>
      <c r="Q34" s="81">
        <f t="shared" si="46"/>
        <v>0</v>
      </c>
      <c r="R34" s="81">
        <f t="shared" si="46"/>
        <v>0</v>
      </c>
      <c r="S34" s="81">
        <f t="shared" si="46"/>
        <v>0</v>
      </c>
      <c r="T34" s="154">
        <f t="shared" si="44"/>
        <v>6000</v>
      </c>
      <c r="U34" s="5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4" customFormat="1" x14ac:dyDescent="0.25">
      <c r="A35" s="2"/>
      <c r="B35" s="48"/>
      <c r="C35" s="4" t="s">
        <v>436</v>
      </c>
      <c r="D35" s="4">
        <v>4</v>
      </c>
      <c r="E35" s="5">
        <v>850</v>
      </c>
      <c r="F35" s="5">
        <f t="shared" ref="F35:F36" si="47">E35*D35</f>
        <v>3400</v>
      </c>
      <c r="G35" s="146"/>
      <c r="H35" s="81">
        <f>$E$35*0</f>
        <v>0</v>
      </c>
      <c r="I35" s="81">
        <f>$E$35*1</f>
        <v>850</v>
      </c>
      <c r="J35" s="81">
        <f t="shared" ref="J35:S35" si="48">$E$35*0</f>
        <v>0</v>
      </c>
      <c r="K35" s="81">
        <f t="shared" si="48"/>
        <v>0</v>
      </c>
      <c r="L35" s="81">
        <f>$E$35*1</f>
        <v>850</v>
      </c>
      <c r="M35" s="81">
        <f t="shared" si="48"/>
        <v>0</v>
      </c>
      <c r="N35" s="81">
        <f t="shared" si="48"/>
        <v>0</v>
      </c>
      <c r="O35" s="81">
        <f>$E$35*1</f>
        <v>850</v>
      </c>
      <c r="P35" s="81">
        <f t="shared" si="48"/>
        <v>0</v>
      </c>
      <c r="Q35" s="81">
        <f t="shared" si="48"/>
        <v>0</v>
      </c>
      <c r="R35" s="81">
        <f>$E$35*1</f>
        <v>850</v>
      </c>
      <c r="S35" s="81">
        <f t="shared" si="48"/>
        <v>0</v>
      </c>
      <c r="T35" s="152">
        <f t="shared" si="44"/>
        <v>3400</v>
      </c>
    </row>
    <row r="36" spans="1:31" s="4" customFormat="1" ht="13.8" thickBot="1" x14ac:dyDescent="0.3">
      <c r="A36" s="2"/>
      <c r="B36" s="48"/>
      <c r="C36" s="4" t="s">
        <v>437</v>
      </c>
      <c r="D36" s="4">
        <v>4</v>
      </c>
      <c r="E36" s="5">
        <v>314</v>
      </c>
      <c r="F36" s="5">
        <f t="shared" si="47"/>
        <v>1256</v>
      </c>
      <c r="G36" s="146"/>
      <c r="H36" s="81">
        <f>$E$36*1</f>
        <v>314</v>
      </c>
      <c r="I36" s="81">
        <f>$E$36*1</f>
        <v>314</v>
      </c>
      <c r="J36" s="81">
        <f>$E$36*0</f>
        <v>0</v>
      </c>
      <c r="K36" s="81">
        <f t="shared" ref="K36:S36" si="49">$E$36*0</f>
        <v>0</v>
      </c>
      <c r="L36" s="81">
        <f>$E$36*1</f>
        <v>314</v>
      </c>
      <c r="M36" s="81">
        <f t="shared" si="49"/>
        <v>0</v>
      </c>
      <c r="N36" s="81">
        <f t="shared" si="49"/>
        <v>0</v>
      </c>
      <c r="O36" s="81">
        <f>$E$36*1</f>
        <v>314</v>
      </c>
      <c r="P36" s="81">
        <f t="shared" si="49"/>
        <v>0</v>
      </c>
      <c r="Q36" s="81">
        <f t="shared" si="49"/>
        <v>0</v>
      </c>
      <c r="R36" s="81">
        <f t="shared" si="49"/>
        <v>0</v>
      </c>
      <c r="S36" s="81">
        <f t="shared" si="49"/>
        <v>0</v>
      </c>
      <c r="T36" s="152">
        <f t="shared" si="44"/>
        <v>1256</v>
      </c>
    </row>
    <row r="37" spans="1:31" ht="16.2" thickBot="1" x14ac:dyDescent="0.35">
      <c r="A37" s="93"/>
      <c r="B37" s="92"/>
      <c r="C37" s="264" t="s">
        <v>215</v>
      </c>
      <c r="D37" s="265"/>
      <c r="E37" s="265"/>
      <c r="F37" s="266"/>
      <c r="G37" s="94">
        <f>SUM(F33:F36)</f>
        <v>11736</v>
      </c>
      <c r="H37" s="155">
        <f t="shared" ref="H37:T37" si="50">SUM(H33:H36)</f>
        <v>1584</v>
      </c>
      <c r="I37" s="155">
        <f t="shared" si="50"/>
        <v>2434</v>
      </c>
      <c r="J37" s="155">
        <f t="shared" si="50"/>
        <v>1270</v>
      </c>
      <c r="K37" s="155">
        <f t="shared" si="50"/>
        <v>1000</v>
      </c>
      <c r="L37" s="155">
        <f t="shared" si="50"/>
        <v>2164</v>
      </c>
      <c r="M37" s="155">
        <f t="shared" si="50"/>
        <v>1270</v>
      </c>
      <c r="N37" s="155">
        <f t="shared" si="50"/>
        <v>0</v>
      </c>
      <c r="O37" s="155">
        <f t="shared" si="50"/>
        <v>1164</v>
      </c>
      <c r="P37" s="155">
        <f t="shared" si="50"/>
        <v>0</v>
      </c>
      <c r="Q37" s="155">
        <f t="shared" si="50"/>
        <v>0</v>
      </c>
      <c r="R37" s="155">
        <f t="shared" si="50"/>
        <v>850</v>
      </c>
      <c r="S37" s="155">
        <f t="shared" si="50"/>
        <v>0</v>
      </c>
      <c r="T37" s="155">
        <f t="shared" si="50"/>
        <v>11736</v>
      </c>
      <c r="U37" s="5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25">
      <c r="B38" s="48"/>
      <c r="G38" s="146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153"/>
      <c r="T38" s="154"/>
      <c r="U38" s="5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4" customFormat="1" x14ac:dyDescent="0.25">
      <c r="A39" s="4">
        <v>216</v>
      </c>
      <c r="B39" s="48">
        <v>21601</v>
      </c>
      <c r="C39" s="4" t="s">
        <v>6</v>
      </c>
      <c r="G39" s="146"/>
      <c r="H39" s="85"/>
      <c r="I39" s="85"/>
      <c r="J39" s="85"/>
      <c r="K39" s="85"/>
      <c r="L39" s="85"/>
      <c r="M39" s="85"/>
      <c r="N39" s="85"/>
      <c r="O39" s="156"/>
      <c r="P39" s="156"/>
      <c r="Q39" s="156"/>
      <c r="R39" s="156"/>
      <c r="S39" s="157"/>
      <c r="T39" s="152"/>
    </row>
    <row r="40" spans="1:31" s="4" customFormat="1" x14ac:dyDescent="0.25">
      <c r="A40" s="2"/>
      <c r="B40" s="48"/>
      <c r="C40" s="4" t="s">
        <v>402</v>
      </c>
      <c r="D40" s="4">
        <v>2</v>
      </c>
      <c r="E40" s="5">
        <v>119</v>
      </c>
      <c r="F40" s="5">
        <f t="shared" ref="F40:F47" si="51">E40*D40</f>
        <v>238</v>
      </c>
      <c r="G40" s="146"/>
      <c r="H40" s="85">
        <f>$E$40*1</f>
        <v>119</v>
      </c>
      <c r="I40" s="85">
        <f t="shared" ref="I40:S40" si="52">$E$40*0</f>
        <v>0</v>
      </c>
      <c r="J40" s="85">
        <f>$E$40*1</f>
        <v>119</v>
      </c>
      <c r="K40" s="85">
        <f>$E$40*0</f>
        <v>0</v>
      </c>
      <c r="L40" s="85">
        <f t="shared" si="52"/>
        <v>0</v>
      </c>
      <c r="M40" s="85">
        <f>$E$40*0</f>
        <v>0</v>
      </c>
      <c r="N40" s="85">
        <f t="shared" si="52"/>
        <v>0</v>
      </c>
      <c r="O40" s="85">
        <f>$E$40*0</f>
        <v>0</v>
      </c>
      <c r="P40" s="85">
        <f>$E$40*0</f>
        <v>0</v>
      </c>
      <c r="Q40" s="85">
        <f t="shared" si="52"/>
        <v>0</v>
      </c>
      <c r="R40" s="85">
        <f t="shared" si="52"/>
        <v>0</v>
      </c>
      <c r="S40" s="85">
        <f t="shared" si="52"/>
        <v>0</v>
      </c>
      <c r="T40" s="152">
        <f t="shared" ref="T40:T55" si="53">SUM(H40:S40)</f>
        <v>238</v>
      </c>
    </row>
    <row r="41" spans="1:31" s="4" customFormat="1" x14ac:dyDescent="0.25">
      <c r="A41" s="2"/>
      <c r="B41" s="48"/>
      <c r="C41" s="4" t="s">
        <v>395</v>
      </c>
      <c r="D41" s="4">
        <v>2</v>
      </c>
      <c r="E41" s="5">
        <v>180</v>
      </c>
      <c r="F41" s="5">
        <f t="shared" si="51"/>
        <v>360</v>
      </c>
      <c r="G41" s="146"/>
      <c r="H41" s="85">
        <f>$E$41*1</f>
        <v>180</v>
      </c>
      <c r="I41" s="85">
        <f>$E$41*0</f>
        <v>0</v>
      </c>
      <c r="J41" s="85">
        <f t="shared" ref="J41:S41" si="54">$E$41*0</f>
        <v>0</v>
      </c>
      <c r="K41" s="85">
        <f>$E$41*1</f>
        <v>180</v>
      </c>
      <c r="L41" s="85">
        <f t="shared" si="54"/>
        <v>0</v>
      </c>
      <c r="M41" s="85">
        <f t="shared" si="54"/>
        <v>0</v>
      </c>
      <c r="N41" s="85">
        <f>$E$41*0</f>
        <v>0</v>
      </c>
      <c r="O41" s="85">
        <f t="shared" si="54"/>
        <v>0</v>
      </c>
      <c r="P41" s="85">
        <f t="shared" si="54"/>
        <v>0</v>
      </c>
      <c r="Q41" s="85">
        <f>$E$41*0</f>
        <v>0</v>
      </c>
      <c r="R41" s="85">
        <f t="shared" si="54"/>
        <v>0</v>
      </c>
      <c r="S41" s="85">
        <f t="shared" si="54"/>
        <v>0</v>
      </c>
      <c r="T41" s="152">
        <f t="shared" si="53"/>
        <v>360</v>
      </c>
    </row>
    <row r="42" spans="1:31" s="4" customFormat="1" x14ac:dyDescent="0.25">
      <c r="A42" s="2"/>
      <c r="B42" s="48"/>
      <c r="C42" s="4" t="s">
        <v>398</v>
      </c>
      <c r="D42" s="4">
        <v>2</v>
      </c>
      <c r="E42" s="5">
        <v>222</v>
      </c>
      <c r="F42" s="5">
        <f t="shared" ref="F42:F46" si="55">E42*D42</f>
        <v>444</v>
      </c>
      <c r="G42" s="146"/>
      <c r="H42" s="85">
        <f>$E$42*1</f>
        <v>222</v>
      </c>
      <c r="I42" s="85">
        <f>$E$42*0</f>
        <v>0</v>
      </c>
      <c r="J42" s="85">
        <f t="shared" ref="J42:S42" si="56">$E$42*0</f>
        <v>0</v>
      </c>
      <c r="K42" s="85">
        <f t="shared" si="56"/>
        <v>0</v>
      </c>
      <c r="L42" s="85">
        <f t="shared" si="56"/>
        <v>0</v>
      </c>
      <c r="M42" s="85">
        <f>$E$42*0</f>
        <v>0</v>
      </c>
      <c r="N42" s="85">
        <f>$E$42*1</f>
        <v>222</v>
      </c>
      <c r="O42" s="85">
        <f t="shared" si="56"/>
        <v>0</v>
      </c>
      <c r="P42" s="85">
        <f t="shared" si="56"/>
        <v>0</v>
      </c>
      <c r="Q42" s="85">
        <f>$E$42*0</f>
        <v>0</v>
      </c>
      <c r="R42" s="85">
        <f t="shared" si="56"/>
        <v>0</v>
      </c>
      <c r="S42" s="85">
        <f t="shared" si="56"/>
        <v>0</v>
      </c>
      <c r="T42" s="152">
        <f t="shared" si="53"/>
        <v>444</v>
      </c>
    </row>
    <row r="43" spans="1:31" s="4" customFormat="1" x14ac:dyDescent="0.25">
      <c r="A43" s="2"/>
      <c r="B43" s="48"/>
      <c r="C43" s="4" t="s">
        <v>367</v>
      </c>
      <c r="D43" s="4">
        <v>3</v>
      </c>
      <c r="E43" s="5">
        <v>200</v>
      </c>
      <c r="F43" s="5">
        <f t="shared" si="55"/>
        <v>600</v>
      </c>
      <c r="G43" s="146"/>
      <c r="H43" s="85">
        <f>$E$43*1</f>
        <v>200</v>
      </c>
      <c r="I43" s="85">
        <f t="shared" ref="I43:S43" si="57">$E$43*0</f>
        <v>0</v>
      </c>
      <c r="J43" s="85">
        <f>$E$43*0</f>
        <v>0</v>
      </c>
      <c r="K43" s="85">
        <f t="shared" si="57"/>
        <v>0</v>
      </c>
      <c r="L43" s="85">
        <f>$E$43*1</f>
        <v>200</v>
      </c>
      <c r="M43" s="85">
        <f t="shared" si="57"/>
        <v>0</v>
      </c>
      <c r="N43" s="85">
        <f>$E$43*1</f>
        <v>200</v>
      </c>
      <c r="O43" s="85">
        <f t="shared" si="57"/>
        <v>0</v>
      </c>
      <c r="P43" s="85">
        <f t="shared" si="57"/>
        <v>0</v>
      </c>
      <c r="Q43" s="85">
        <f t="shared" si="57"/>
        <v>0</v>
      </c>
      <c r="R43" s="85">
        <f>$E$43*0</f>
        <v>0</v>
      </c>
      <c r="S43" s="85">
        <f t="shared" si="57"/>
        <v>0</v>
      </c>
      <c r="T43" s="152">
        <f t="shared" si="53"/>
        <v>600</v>
      </c>
    </row>
    <row r="44" spans="1:31" s="4" customFormat="1" x14ac:dyDescent="0.25">
      <c r="A44" s="2"/>
      <c r="B44" s="48"/>
      <c r="C44" s="4" t="s">
        <v>396</v>
      </c>
      <c r="D44" s="4">
        <v>2</v>
      </c>
      <c r="E44" s="5">
        <v>160</v>
      </c>
      <c r="F44" s="5">
        <f t="shared" si="55"/>
        <v>320</v>
      </c>
      <c r="G44" s="146"/>
      <c r="H44" s="85">
        <f>$E$44*1</f>
        <v>160</v>
      </c>
      <c r="I44" s="85">
        <f>$E$44*0</f>
        <v>0</v>
      </c>
      <c r="J44" s="85">
        <f t="shared" ref="J44:S44" si="58">$E$44*0</f>
        <v>0</v>
      </c>
      <c r="K44" s="85">
        <f t="shared" si="58"/>
        <v>0</v>
      </c>
      <c r="L44" s="85">
        <f t="shared" si="58"/>
        <v>0</v>
      </c>
      <c r="M44" s="85">
        <f t="shared" si="58"/>
        <v>0</v>
      </c>
      <c r="N44" s="85">
        <f>$E$44*1</f>
        <v>160</v>
      </c>
      <c r="O44" s="85">
        <f>$E$44*0</f>
        <v>0</v>
      </c>
      <c r="P44" s="85">
        <f t="shared" si="58"/>
        <v>0</v>
      </c>
      <c r="Q44" s="85">
        <f t="shared" si="58"/>
        <v>0</v>
      </c>
      <c r="R44" s="85">
        <f t="shared" si="58"/>
        <v>0</v>
      </c>
      <c r="S44" s="85">
        <f t="shared" si="58"/>
        <v>0</v>
      </c>
      <c r="T44" s="152">
        <f t="shared" si="53"/>
        <v>320</v>
      </c>
    </row>
    <row r="45" spans="1:31" s="4" customFormat="1" x14ac:dyDescent="0.25">
      <c r="A45" s="2"/>
      <c r="B45" s="48"/>
      <c r="C45" s="158" t="s">
        <v>397</v>
      </c>
      <c r="D45" s="4">
        <v>2</v>
      </c>
      <c r="E45" s="5">
        <v>170</v>
      </c>
      <c r="F45" s="5">
        <f t="shared" si="55"/>
        <v>340</v>
      </c>
      <c r="G45" s="146"/>
      <c r="H45" s="85">
        <f>$E$45*1</f>
        <v>170</v>
      </c>
      <c r="I45" s="85">
        <f t="shared" ref="I45:S45" si="59">$E$45*0</f>
        <v>0</v>
      </c>
      <c r="J45" s="85">
        <f>$E$45*0</f>
        <v>0</v>
      </c>
      <c r="K45" s="85">
        <f t="shared" si="59"/>
        <v>0</v>
      </c>
      <c r="L45" s="85">
        <f t="shared" si="59"/>
        <v>0</v>
      </c>
      <c r="M45" s="85">
        <f t="shared" si="59"/>
        <v>0</v>
      </c>
      <c r="N45" s="85">
        <f>$E$45*1</f>
        <v>170</v>
      </c>
      <c r="O45" s="85">
        <f t="shared" si="59"/>
        <v>0</v>
      </c>
      <c r="P45" s="85">
        <f t="shared" si="59"/>
        <v>0</v>
      </c>
      <c r="Q45" s="85">
        <f t="shared" si="59"/>
        <v>0</v>
      </c>
      <c r="R45" s="85">
        <f>$E$45*0</f>
        <v>0</v>
      </c>
      <c r="S45" s="85">
        <f t="shared" si="59"/>
        <v>0</v>
      </c>
      <c r="T45" s="152">
        <f t="shared" si="53"/>
        <v>340</v>
      </c>
    </row>
    <row r="46" spans="1:31" s="4" customFormat="1" x14ac:dyDescent="0.25">
      <c r="A46" s="2"/>
      <c r="B46" s="48"/>
      <c r="C46" s="4" t="s">
        <v>399</v>
      </c>
      <c r="D46" s="4">
        <v>8</v>
      </c>
      <c r="E46" s="5">
        <v>30</v>
      </c>
      <c r="F46" s="5">
        <f t="shared" si="55"/>
        <v>240</v>
      </c>
      <c r="G46" s="146"/>
      <c r="H46" s="85">
        <f>$E$46*2</f>
        <v>60</v>
      </c>
      <c r="I46" s="85">
        <f>$E$46*2</f>
        <v>60</v>
      </c>
      <c r="J46" s="85">
        <f>$E$46*2</f>
        <v>60</v>
      </c>
      <c r="K46" s="85">
        <f>$E$46*1</f>
        <v>30</v>
      </c>
      <c r="L46" s="85">
        <f>$E$46*1</f>
        <v>30</v>
      </c>
      <c r="M46" s="85">
        <f t="shared" ref="M46:R46" si="60">$E$46*0</f>
        <v>0</v>
      </c>
      <c r="N46" s="85">
        <f>$E$46*0</f>
        <v>0</v>
      </c>
      <c r="O46" s="85">
        <f t="shared" si="60"/>
        <v>0</v>
      </c>
      <c r="P46" s="85">
        <f t="shared" si="60"/>
        <v>0</v>
      </c>
      <c r="Q46" s="85">
        <f>$E$46*0</f>
        <v>0</v>
      </c>
      <c r="R46" s="85">
        <f t="shared" si="60"/>
        <v>0</v>
      </c>
      <c r="S46" s="85">
        <f>$E$46*0</f>
        <v>0</v>
      </c>
      <c r="T46" s="152">
        <f t="shared" si="53"/>
        <v>240</v>
      </c>
    </row>
    <row r="47" spans="1:31" s="4" customFormat="1" x14ac:dyDescent="0.25">
      <c r="A47" s="2"/>
      <c r="B47" s="48"/>
      <c r="C47" s="4" t="s">
        <v>400</v>
      </c>
      <c r="D47" s="4">
        <v>3</v>
      </c>
      <c r="E47" s="5">
        <v>357</v>
      </c>
      <c r="F47" s="5">
        <f t="shared" si="51"/>
        <v>1071</v>
      </c>
      <c r="G47" s="146"/>
      <c r="H47" s="85">
        <f>$E$47*1</f>
        <v>357</v>
      </c>
      <c r="I47" s="85">
        <f t="shared" ref="I47:R47" si="61">$E$47*0</f>
        <v>0</v>
      </c>
      <c r="J47" s="85">
        <f t="shared" si="61"/>
        <v>0</v>
      </c>
      <c r="K47" s="85">
        <f>$E$47*1</f>
        <v>357</v>
      </c>
      <c r="L47" s="85">
        <f>$E$47*0</f>
        <v>0</v>
      </c>
      <c r="M47" s="85">
        <f t="shared" si="61"/>
        <v>0</v>
      </c>
      <c r="N47" s="85">
        <f>$E$47*1</f>
        <v>357</v>
      </c>
      <c r="O47" s="85">
        <f>$E$47*0</f>
        <v>0</v>
      </c>
      <c r="P47" s="85">
        <f t="shared" si="61"/>
        <v>0</v>
      </c>
      <c r="Q47" s="85">
        <f t="shared" si="61"/>
        <v>0</v>
      </c>
      <c r="R47" s="85">
        <f t="shared" si="61"/>
        <v>0</v>
      </c>
      <c r="S47" s="85">
        <f>$E$47*0</f>
        <v>0</v>
      </c>
      <c r="T47" s="152">
        <f t="shared" si="53"/>
        <v>1071</v>
      </c>
    </row>
    <row r="48" spans="1:31" s="4" customFormat="1" x14ac:dyDescent="0.25">
      <c r="A48" s="2"/>
      <c r="B48" s="48"/>
      <c r="C48" s="4" t="s">
        <v>401</v>
      </c>
      <c r="D48" s="4">
        <v>1</v>
      </c>
      <c r="E48" s="5">
        <v>101</v>
      </c>
      <c r="F48" s="5">
        <f t="shared" ref="F48:F50" si="62">E48*D48</f>
        <v>101</v>
      </c>
      <c r="G48" s="146"/>
      <c r="H48" s="85">
        <f>$E$48*1</f>
        <v>101</v>
      </c>
      <c r="I48" s="85">
        <f t="shared" ref="I48:S48" si="63">$E$48*0</f>
        <v>0</v>
      </c>
      <c r="J48" s="85">
        <f>$E$48*0</f>
        <v>0</v>
      </c>
      <c r="K48" s="85">
        <f t="shared" si="63"/>
        <v>0</v>
      </c>
      <c r="L48" s="85">
        <f t="shared" si="63"/>
        <v>0</v>
      </c>
      <c r="M48" s="85">
        <f t="shared" si="63"/>
        <v>0</v>
      </c>
      <c r="N48" s="85">
        <f>$E$48*0</f>
        <v>0</v>
      </c>
      <c r="O48" s="85">
        <f t="shared" si="63"/>
        <v>0</v>
      </c>
      <c r="P48" s="85">
        <f>$E$48*0</f>
        <v>0</v>
      </c>
      <c r="Q48" s="85">
        <f t="shared" si="63"/>
        <v>0</v>
      </c>
      <c r="R48" s="85">
        <f t="shared" si="63"/>
        <v>0</v>
      </c>
      <c r="S48" s="85">
        <f t="shared" si="63"/>
        <v>0</v>
      </c>
      <c r="T48" s="152">
        <f t="shared" si="53"/>
        <v>101</v>
      </c>
    </row>
    <row r="49" spans="1:31" s="4" customFormat="1" x14ac:dyDescent="0.25">
      <c r="A49" s="2"/>
      <c r="B49" s="48"/>
      <c r="C49" s="56" t="s">
        <v>403</v>
      </c>
      <c r="D49" s="4">
        <v>1</v>
      </c>
      <c r="E49" s="5">
        <v>96</v>
      </c>
      <c r="F49" s="5">
        <f t="shared" si="62"/>
        <v>96</v>
      </c>
      <c r="G49" s="146"/>
      <c r="H49" s="85">
        <f>$E$49*1</f>
        <v>96</v>
      </c>
      <c r="I49" s="85">
        <f>$E$49*0</f>
        <v>0</v>
      </c>
      <c r="J49" s="85">
        <f t="shared" ref="J49:S49" si="64">$E$49*0</f>
        <v>0</v>
      </c>
      <c r="K49" s="85">
        <f>$E$49*0</f>
        <v>0</v>
      </c>
      <c r="L49" s="85">
        <f t="shared" si="64"/>
        <v>0</v>
      </c>
      <c r="M49" s="85">
        <f>$E$49*0</f>
        <v>0</v>
      </c>
      <c r="N49" s="85">
        <f>$E$49*0</f>
        <v>0</v>
      </c>
      <c r="O49" s="85">
        <f t="shared" si="64"/>
        <v>0</v>
      </c>
      <c r="P49" s="85">
        <f t="shared" si="64"/>
        <v>0</v>
      </c>
      <c r="Q49" s="85">
        <f>$E$49*0</f>
        <v>0</v>
      </c>
      <c r="R49" s="85">
        <f t="shared" si="64"/>
        <v>0</v>
      </c>
      <c r="S49" s="85">
        <f t="shared" si="64"/>
        <v>0</v>
      </c>
      <c r="T49" s="152">
        <f t="shared" si="53"/>
        <v>96</v>
      </c>
    </row>
    <row r="50" spans="1:31" s="4" customFormat="1" x14ac:dyDescent="0.25">
      <c r="A50" s="2"/>
      <c r="B50" s="48"/>
      <c r="C50" s="4" t="s">
        <v>404</v>
      </c>
      <c r="D50" s="4">
        <v>2</v>
      </c>
      <c r="E50" s="5">
        <v>100</v>
      </c>
      <c r="F50" s="5">
        <f t="shared" si="62"/>
        <v>200</v>
      </c>
      <c r="G50" s="146"/>
      <c r="H50" s="85">
        <f>$E$50*1</f>
        <v>100</v>
      </c>
      <c r="I50" s="85">
        <f t="shared" ref="I50:S50" si="65">$E$50*0</f>
        <v>0</v>
      </c>
      <c r="J50" s="85">
        <f t="shared" si="65"/>
        <v>0</v>
      </c>
      <c r="K50" s="85">
        <f t="shared" si="65"/>
        <v>0</v>
      </c>
      <c r="L50" s="85">
        <f>$E$50*0</f>
        <v>0</v>
      </c>
      <c r="M50" s="85">
        <f t="shared" si="65"/>
        <v>0</v>
      </c>
      <c r="N50" s="85">
        <f>$E$50*1</f>
        <v>100</v>
      </c>
      <c r="O50" s="85">
        <f t="shared" si="65"/>
        <v>0</v>
      </c>
      <c r="P50" s="85">
        <f t="shared" si="65"/>
        <v>0</v>
      </c>
      <c r="Q50" s="85">
        <f t="shared" si="65"/>
        <v>0</v>
      </c>
      <c r="R50" s="85">
        <f t="shared" si="65"/>
        <v>0</v>
      </c>
      <c r="S50" s="85">
        <f t="shared" si="65"/>
        <v>0</v>
      </c>
      <c r="T50" s="152">
        <f t="shared" si="53"/>
        <v>200</v>
      </c>
    </row>
    <row r="51" spans="1:31" s="4" customFormat="1" x14ac:dyDescent="0.25">
      <c r="A51" s="2"/>
      <c r="B51" s="48"/>
      <c r="C51" s="4" t="s">
        <v>405</v>
      </c>
      <c r="D51" s="4">
        <v>2</v>
      </c>
      <c r="E51" s="5">
        <v>120</v>
      </c>
      <c r="F51" s="5">
        <f t="shared" ref="F51:F55" si="66">E51*D51</f>
        <v>240</v>
      </c>
      <c r="G51" s="146"/>
      <c r="H51" s="85">
        <f>$E$51*1</f>
        <v>120</v>
      </c>
      <c r="I51" s="85">
        <f t="shared" ref="I51:S51" si="67">$E$51*0</f>
        <v>0</v>
      </c>
      <c r="J51" s="85">
        <f>$E$51*0</f>
        <v>0</v>
      </c>
      <c r="K51" s="85">
        <f>$E$51*0</f>
        <v>0</v>
      </c>
      <c r="L51" s="85">
        <f t="shared" si="67"/>
        <v>0</v>
      </c>
      <c r="M51" s="85">
        <f>$E$51*0</f>
        <v>0</v>
      </c>
      <c r="N51" s="85">
        <f>$E$51*1</f>
        <v>120</v>
      </c>
      <c r="O51" s="85">
        <f t="shared" si="67"/>
        <v>0</v>
      </c>
      <c r="P51" s="85">
        <f t="shared" si="67"/>
        <v>0</v>
      </c>
      <c r="Q51" s="85">
        <f t="shared" si="67"/>
        <v>0</v>
      </c>
      <c r="R51" s="85">
        <f>$E$51*0</f>
        <v>0</v>
      </c>
      <c r="S51" s="85">
        <f t="shared" si="67"/>
        <v>0</v>
      </c>
      <c r="T51" s="152">
        <f t="shared" si="53"/>
        <v>240</v>
      </c>
    </row>
    <row r="52" spans="1:31" s="4" customFormat="1" x14ac:dyDescent="0.25">
      <c r="A52" s="2"/>
      <c r="B52" s="48"/>
      <c r="C52" s="4" t="s">
        <v>355</v>
      </c>
      <c r="D52" s="4">
        <v>0</v>
      </c>
      <c r="E52" s="5">
        <v>1100</v>
      </c>
      <c r="F52" s="5">
        <f t="shared" si="66"/>
        <v>0</v>
      </c>
      <c r="G52" s="146"/>
      <c r="H52" s="85">
        <f>$E$52*0</f>
        <v>0</v>
      </c>
      <c r="I52" s="85">
        <f>$E$52*0</f>
        <v>0</v>
      </c>
      <c r="J52" s="85">
        <f t="shared" ref="J52:S52" si="68">$E$52*0</f>
        <v>0</v>
      </c>
      <c r="K52" s="85">
        <f>$E$52*0</f>
        <v>0</v>
      </c>
      <c r="L52" s="85">
        <f t="shared" si="68"/>
        <v>0</v>
      </c>
      <c r="M52" s="85">
        <f t="shared" si="68"/>
        <v>0</v>
      </c>
      <c r="N52" s="85">
        <f t="shared" si="68"/>
        <v>0</v>
      </c>
      <c r="O52" s="85">
        <f>$E$52*0</f>
        <v>0</v>
      </c>
      <c r="P52" s="85">
        <f t="shared" si="68"/>
        <v>0</v>
      </c>
      <c r="Q52" s="85">
        <f t="shared" si="68"/>
        <v>0</v>
      </c>
      <c r="R52" s="85">
        <f t="shared" si="68"/>
        <v>0</v>
      </c>
      <c r="S52" s="85">
        <f t="shared" si="68"/>
        <v>0</v>
      </c>
      <c r="T52" s="152">
        <f t="shared" si="53"/>
        <v>0</v>
      </c>
    </row>
    <row r="53" spans="1:31" s="4" customFormat="1" x14ac:dyDescent="0.25">
      <c r="A53" s="2"/>
      <c r="B53" s="48"/>
      <c r="C53" s="4" t="s">
        <v>407</v>
      </c>
      <c r="D53" s="4">
        <v>1</v>
      </c>
      <c r="E53" s="5">
        <v>301</v>
      </c>
      <c r="F53" s="5">
        <f t="shared" si="66"/>
        <v>301</v>
      </c>
      <c r="G53" s="146"/>
      <c r="H53" s="85">
        <f>$E$53*1</f>
        <v>301</v>
      </c>
      <c r="I53" s="85">
        <f t="shared" ref="I53:R53" si="69">$E$53*0</f>
        <v>0</v>
      </c>
      <c r="J53" s="85">
        <f>$E$53*0</f>
        <v>0</v>
      </c>
      <c r="K53" s="85">
        <f>$E$53*0</f>
        <v>0</v>
      </c>
      <c r="L53" s="85">
        <f t="shared" si="69"/>
        <v>0</v>
      </c>
      <c r="M53" s="85">
        <f>$E$53*0</f>
        <v>0</v>
      </c>
      <c r="N53" s="85">
        <f>$E$53*0</f>
        <v>0</v>
      </c>
      <c r="O53" s="85">
        <f t="shared" si="69"/>
        <v>0</v>
      </c>
      <c r="P53" s="85">
        <f>$E$53*0</f>
        <v>0</v>
      </c>
      <c r="Q53" s="85">
        <f t="shared" si="69"/>
        <v>0</v>
      </c>
      <c r="R53" s="85">
        <f t="shared" si="69"/>
        <v>0</v>
      </c>
      <c r="S53" s="85">
        <f>$E$53*0</f>
        <v>0</v>
      </c>
      <c r="T53" s="152">
        <f t="shared" si="53"/>
        <v>301</v>
      </c>
    </row>
    <row r="54" spans="1:31" s="4" customFormat="1" x14ac:dyDescent="0.25">
      <c r="A54" s="2"/>
      <c r="B54" s="48"/>
      <c r="C54" s="4" t="s">
        <v>406</v>
      </c>
      <c r="D54" s="4">
        <v>2</v>
      </c>
      <c r="E54" s="5">
        <v>282</v>
      </c>
      <c r="F54" s="5">
        <f t="shared" si="66"/>
        <v>564</v>
      </c>
      <c r="G54" s="146"/>
      <c r="H54" s="85">
        <f>$E$54*1</f>
        <v>282</v>
      </c>
      <c r="I54" s="85">
        <f t="shared" ref="I54:S54" si="70">$E$54*0</f>
        <v>0</v>
      </c>
      <c r="J54" s="85">
        <f t="shared" si="70"/>
        <v>0</v>
      </c>
      <c r="K54" s="85">
        <f>$E$54*0</f>
        <v>0</v>
      </c>
      <c r="L54" s="85">
        <f>$E$54*0</f>
        <v>0</v>
      </c>
      <c r="M54" s="85">
        <f t="shared" si="70"/>
        <v>0</v>
      </c>
      <c r="N54" s="85">
        <f>$E$54*1</f>
        <v>282</v>
      </c>
      <c r="O54" s="85">
        <f t="shared" si="70"/>
        <v>0</v>
      </c>
      <c r="P54" s="85">
        <f>$E$54*0</f>
        <v>0</v>
      </c>
      <c r="Q54" s="85">
        <f t="shared" si="70"/>
        <v>0</v>
      </c>
      <c r="R54" s="85">
        <f>$E$54*0</f>
        <v>0</v>
      </c>
      <c r="S54" s="85">
        <f t="shared" si="70"/>
        <v>0</v>
      </c>
      <c r="T54" s="152">
        <f t="shared" si="53"/>
        <v>564</v>
      </c>
    </row>
    <row r="55" spans="1:31" s="4" customFormat="1" ht="13.8" thickBot="1" x14ac:dyDescent="0.3">
      <c r="A55" s="2"/>
      <c r="B55" s="48"/>
      <c r="C55" s="4" t="s">
        <v>408</v>
      </c>
      <c r="D55" s="4">
        <v>5</v>
      </c>
      <c r="E55" s="5">
        <v>30</v>
      </c>
      <c r="F55" s="5">
        <f t="shared" si="66"/>
        <v>150</v>
      </c>
      <c r="G55" s="146"/>
      <c r="H55" s="85">
        <f>$E$55*2</f>
        <v>60</v>
      </c>
      <c r="I55" s="85">
        <f t="shared" ref="I55:S55" si="71">$E$55*0</f>
        <v>0</v>
      </c>
      <c r="J55" s="85">
        <f>$E$55*0</f>
        <v>0</v>
      </c>
      <c r="K55" s="85">
        <f>$E$55*2</f>
        <v>60</v>
      </c>
      <c r="L55" s="85">
        <f>$E$55*0</f>
        <v>0</v>
      </c>
      <c r="M55" s="85">
        <f t="shared" si="71"/>
        <v>0</v>
      </c>
      <c r="N55" s="85">
        <f>$E$55*1</f>
        <v>30</v>
      </c>
      <c r="O55" s="85">
        <f t="shared" si="71"/>
        <v>0</v>
      </c>
      <c r="P55" s="85">
        <f>$E$55*0</f>
        <v>0</v>
      </c>
      <c r="Q55" s="85">
        <f t="shared" si="71"/>
        <v>0</v>
      </c>
      <c r="R55" s="85">
        <f t="shared" si="71"/>
        <v>0</v>
      </c>
      <c r="S55" s="85">
        <f t="shared" si="71"/>
        <v>0</v>
      </c>
      <c r="T55" s="152">
        <f t="shared" si="53"/>
        <v>150</v>
      </c>
    </row>
    <row r="56" spans="1:31" s="10" customFormat="1" ht="16.2" thickBot="1" x14ac:dyDescent="0.35">
      <c r="A56" s="93"/>
      <c r="B56" s="92"/>
      <c r="C56" s="264" t="s">
        <v>35</v>
      </c>
      <c r="D56" s="265"/>
      <c r="E56" s="265"/>
      <c r="F56" s="266"/>
      <c r="G56" s="94">
        <f>SUM(F40:F55)</f>
        <v>5265</v>
      </c>
      <c r="H56" s="94">
        <f t="shared" ref="H56:T56" si="72">SUM(H40:H55)</f>
        <v>2528</v>
      </c>
      <c r="I56" s="94">
        <f t="shared" si="72"/>
        <v>60</v>
      </c>
      <c r="J56" s="94">
        <f t="shared" si="72"/>
        <v>179</v>
      </c>
      <c r="K56" s="94">
        <f t="shared" si="72"/>
        <v>627</v>
      </c>
      <c r="L56" s="94">
        <f t="shared" si="72"/>
        <v>230</v>
      </c>
      <c r="M56" s="94">
        <f t="shared" si="72"/>
        <v>0</v>
      </c>
      <c r="N56" s="94">
        <f t="shared" si="72"/>
        <v>1641</v>
      </c>
      <c r="O56" s="94">
        <f t="shared" si="72"/>
        <v>0</v>
      </c>
      <c r="P56" s="94">
        <f t="shared" si="72"/>
        <v>0</v>
      </c>
      <c r="Q56" s="94">
        <f t="shared" si="72"/>
        <v>0</v>
      </c>
      <c r="R56" s="94">
        <f t="shared" si="72"/>
        <v>0</v>
      </c>
      <c r="S56" s="94">
        <f t="shared" si="72"/>
        <v>0</v>
      </c>
      <c r="T56" s="94">
        <f t="shared" si="72"/>
        <v>5265</v>
      </c>
    </row>
    <row r="57" spans="1:31" x14ac:dyDescent="0.25">
      <c r="B57" s="48"/>
      <c r="E57" s="5"/>
      <c r="F57" s="5"/>
      <c r="G57" s="146"/>
      <c r="H57" s="81"/>
      <c r="I57" s="81"/>
      <c r="J57" s="81"/>
      <c r="K57" s="81"/>
      <c r="L57" s="81"/>
      <c r="M57" s="81"/>
      <c r="N57" s="81"/>
      <c r="O57" s="81"/>
      <c r="P57" s="81"/>
      <c r="Q57" s="159"/>
      <c r="R57" s="159"/>
      <c r="S57" s="160"/>
      <c r="T57" s="154"/>
      <c r="U57" s="5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s="4" customFormat="1" x14ac:dyDescent="0.25">
      <c r="A58" s="4">
        <v>221</v>
      </c>
      <c r="B58" s="48">
        <v>22101</v>
      </c>
      <c r="C58" s="4" t="s">
        <v>216</v>
      </c>
      <c r="D58" s="2"/>
      <c r="F58" s="2"/>
      <c r="G58" s="161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7"/>
      <c r="T58" s="152"/>
    </row>
    <row r="59" spans="1:31" s="4" customFormat="1" x14ac:dyDescent="0.25">
      <c r="A59" s="2"/>
      <c r="B59" s="58"/>
      <c r="C59" s="4" t="s">
        <v>409</v>
      </c>
      <c r="D59" s="4">
        <v>10</v>
      </c>
      <c r="E59" s="5">
        <v>180</v>
      </c>
      <c r="F59" s="5">
        <f>E59*D59</f>
        <v>1800</v>
      </c>
      <c r="G59" s="161"/>
      <c r="H59" s="85">
        <f>$E$59*1</f>
        <v>180</v>
      </c>
      <c r="I59" s="85">
        <f>$E$59*1</f>
        <v>180</v>
      </c>
      <c r="J59" s="85">
        <f t="shared" ref="J59:Q59" si="73">$E$59*1</f>
        <v>180</v>
      </c>
      <c r="K59" s="85">
        <f t="shared" si="73"/>
        <v>180</v>
      </c>
      <c r="L59" s="85">
        <f t="shared" si="73"/>
        <v>180</v>
      </c>
      <c r="M59" s="85">
        <f t="shared" si="73"/>
        <v>180</v>
      </c>
      <c r="N59" s="85">
        <f t="shared" si="73"/>
        <v>180</v>
      </c>
      <c r="O59" s="85">
        <f t="shared" si="73"/>
        <v>180</v>
      </c>
      <c r="P59" s="85">
        <f t="shared" si="73"/>
        <v>180</v>
      </c>
      <c r="Q59" s="85">
        <f t="shared" si="73"/>
        <v>180</v>
      </c>
      <c r="R59" s="85">
        <f>$E$59*0</f>
        <v>0</v>
      </c>
      <c r="S59" s="85">
        <f>$E$59*0</f>
        <v>0</v>
      </c>
      <c r="T59" s="152">
        <f t="shared" ref="T59:T78" si="74">SUM(H59:S59)</f>
        <v>1800</v>
      </c>
    </row>
    <row r="60" spans="1:31" s="4" customFormat="1" x14ac:dyDescent="0.25">
      <c r="A60" s="2"/>
      <c r="B60" s="58"/>
      <c r="C60" s="4" t="s">
        <v>334</v>
      </c>
      <c r="D60" s="4">
        <v>2</v>
      </c>
      <c r="E60" s="5">
        <v>110</v>
      </c>
      <c r="F60" s="5">
        <f t="shared" ref="F60:F62" si="75">E60*D60</f>
        <v>220</v>
      </c>
      <c r="G60" s="161"/>
      <c r="H60" s="85">
        <f>$E$60*1</f>
        <v>110</v>
      </c>
      <c r="I60" s="85">
        <f t="shared" ref="I60:S60" si="76">$E$60*0</f>
        <v>0</v>
      </c>
      <c r="J60" s="85">
        <f t="shared" si="76"/>
        <v>0</v>
      </c>
      <c r="K60" s="85">
        <f t="shared" si="76"/>
        <v>0</v>
      </c>
      <c r="L60" s="85">
        <f>$E$60*0</f>
        <v>0</v>
      </c>
      <c r="M60" s="85">
        <f t="shared" si="76"/>
        <v>0</v>
      </c>
      <c r="N60" s="85">
        <f>$E$60*1</f>
        <v>110</v>
      </c>
      <c r="O60" s="85">
        <f>$E$60*0</f>
        <v>0</v>
      </c>
      <c r="P60" s="85">
        <f t="shared" si="76"/>
        <v>0</v>
      </c>
      <c r="Q60" s="85">
        <f t="shared" si="76"/>
        <v>0</v>
      </c>
      <c r="R60" s="85">
        <f t="shared" si="76"/>
        <v>0</v>
      </c>
      <c r="S60" s="85">
        <f t="shared" si="76"/>
        <v>0</v>
      </c>
      <c r="T60" s="152">
        <f t="shared" si="74"/>
        <v>220</v>
      </c>
    </row>
    <row r="61" spans="1:31" s="4" customFormat="1" x14ac:dyDescent="0.25">
      <c r="A61" s="2"/>
      <c r="B61" s="58"/>
      <c r="C61" s="4" t="s">
        <v>376</v>
      </c>
      <c r="D61" s="4">
        <v>2</v>
      </c>
      <c r="E61" s="5">
        <v>214</v>
      </c>
      <c r="F61" s="5">
        <f t="shared" si="75"/>
        <v>428</v>
      </c>
      <c r="G61" s="161"/>
      <c r="H61" s="85">
        <f>$E$61*1</f>
        <v>214</v>
      </c>
      <c r="I61" s="85">
        <f>$E$61*0</f>
        <v>0</v>
      </c>
      <c r="J61" s="85">
        <f t="shared" ref="J61:S61" si="77">$E$61*0</f>
        <v>0</v>
      </c>
      <c r="K61" s="85">
        <f t="shared" si="77"/>
        <v>0</v>
      </c>
      <c r="L61" s="85">
        <f t="shared" si="77"/>
        <v>0</v>
      </c>
      <c r="M61" s="85">
        <f t="shared" si="77"/>
        <v>0</v>
      </c>
      <c r="N61" s="85">
        <f>$E$61*1</f>
        <v>214</v>
      </c>
      <c r="O61" s="85">
        <f t="shared" si="77"/>
        <v>0</v>
      </c>
      <c r="P61" s="85">
        <f>$E$61*0</f>
        <v>0</v>
      </c>
      <c r="Q61" s="85">
        <f t="shared" si="77"/>
        <v>0</v>
      </c>
      <c r="R61" s="85">
        <f t="shared" si="77"/>
        <v>0</v>
      </c>
      <c r="S61" s="85">
        <f t="shared" si="77"/>
        <v>0</v>
      </c>
      <c r="T61" s="152">
        <f t="shared" si="74"/>
        <v>428</v>
      </c>
    </row>
    <row r="62" spans="1:31" s="4" customFormat="1" x14ac:dyDescent="0.25">
      <c r="A62" s="2"/>
      <c r="B62" s="58"/>
      <c r="C62" s="4" t="s">
        <v>410</v>
      </c>
      <c r="D62" s="4">
        <v>1</v>
      </c>
      <c r="E62" s="5">
        <v>208</v>
      </c>
      <c r="F62" s="5">
        <f t="shared" si="75"/>
        <v>208</v>
      </c>
      <c r="G62" s="161"/>
      <c r="H62" s="85">
        <f>$E$62*1</f>
        <v>208</v>
      </c>
      <c r="I62" s="85">
        <f t="shared" ref="I62:N62" si="78">$E$62*0</f>
        <v>0</v>
      </c>
      <c r="J62" s="85">
        <f t="shared" si="78"/>
        <v>0</v>
      </c>
      <c r="K62" s="85">
        <f t="shared" si="78"/>
        <v>0</v>
      </c>
      <c r="L62" s="85">
        <f t="shared" si="78"/>
        <v>0</v>
      </c>
      <c r="M62" s="85">
        <f t="shared" si="78"/>
        <v>0</v>
      </c>
      <c r="N62" s="85">
        <f t="shared" si="78"/>
        <v>0</v>
      </c>
      <c r="O62" s="85">
        <f t="shared" ref="O62:S62" si="79">$E$62*0</f>
        <v>0</v>
      </c>
      <c r="P62" s="85">
        <f t="shared" si="79"/>
        <v>0</v>
      </c>
      <c r="Q62" s="85">
        <f t="shared" si="79"/>
        <v>0</v>
      </c>
      <c r="R62" s="85">
        <f t="shared" si="79"/>
        <v>0</v>
      </c>
      <c r="S62" s="85">
        <f t="shared" si="79"/>
        <v>0</v>
      </c>
      <c r="T62" s="152">
        <f t="shared" si="74"/>
        <v>208</v>
      </c>
    </row>
    <row r="63" spans="1:31" s="4" customFormat="1" x14ac:dyDescent="0.25">
      <c r="A63" s="2"/>
      <c r="B63" s="58"/>
      <c r="C63" s="4" t="s">
        <v>411</v>
      </c>
      <c r="D63" s="4">
        <v>5</v>
      </c>
      <c r="E63" s="5">
        <v>231</v>
      </c>
      <c r="F63" s="5">
        <f>E63*D63</f>
        <v>1155</v>
      </c>
      <c r="G63" s="161"/>
      <c r="H63" s="85">
        <f>$E$63*1</f>
        <v>231</v>
      </c>
      <c r="I63" s="85">
        <f>$E$63*0</f>
        <v>0</v>
      </c>
      <c r="J63" s="85">
        <f>$E$63*1</f>
        <v>231</v>
      </c>
      <c r="K63" s="85">
        <f t="shared" ref="K63:S63" si="80">$E$63*0</f>
        <v>0</v>
      </c>
      <c r="L63" s="85">
        <f>$E$63*1</f>
        <v>231</v>
      </c>
      <c r="M63" s="85">
        <f t="shared" si="80"/>
        <v>0</v>
      </c>
      <c r="N63" s="85">
        <f>$E$63*1</f>
        <v>231</v>
      </c>
      <c r="O63" s="85">
        <f t="shared" si="80"/>
        <v>0</v>
      </c>
      <c r="P63" s="85">
        <f>$E$63*1</f>
        <v>231</v>
      </c>
      <c r="Q63" s="85">
        <f t="shared" si="80"/>
        <v>0</v>
      </c>
      <c r="R63" s="85">
        <f t="shared" si="80"/>
        <v>0</v>
      </c>
      <c r="S63" s="85">
        <f t="shared" si="80"/>
        <v>0</v>
      </c>
      <c r="T63" s="152">
        <f t="shared" si="74"/>
        <v>1155</v>
      </c>
    </row>
    <row r="64" spans="1:31" s="4" customFormat="1" x14ac:dyDescent="0.25">
      <c r="A64" s="2"/>
      <c r="B64" s="58"/>
      <c r="C64" s="4" t="s">
        <v>412</v>
      </c>
      <c r="D64" s="4">
        <v>3</v>
      </c>
      <c r="E64" s="5">
        <v>398</v>
      </c>
      <c r="F64" s="5">
        <f t="shared" ref="F64:F77" si="81">E64*D64</f>
        <v>1194</v>
      </c>
      <c r="G64" s="161"/>
      <c r="H64" s="85">
        <f>$E$64*1</f>
        <v>398</v>
      </c>
      <c r="I64" s="85">
        <f>$E$64*0</f>
        <v>0</v>
      </c>
      <c r="J64" s="85">
        <f>$E$64*0</f>
        <v>0</v>
      </c>
      <c r="K64" s="85">
        <f>$E$64*1</f>
        <v>398</v>
      </c>
      <c r="L64" s="85">
        <f>$E$64*0</f>
        <v>0</v>
      </c>
      <c r="M64" s="85">
        <f>$E$64*0</f>
        <v>0</v>
      </c>
      <c r="N64" s="85">
        <f>$E$64*1</f>
        <v>398</v>
      </c>
      <c r="O64" s="85">
        <f>$E$64*0</f>
        <v>0</v>
      </c>
      <c r="P64" s="85">
        <f>$E$64*0</f>
        <v>0</v>
      </c>
      <c r="Q64" s="85">
        <f>$E$64*0</f>
        <v>0</v>
      </c>
      <c r="R64" s="85">
        <f>$E$64*0</f>
        <v>0</v>
      </c>
      <c r="S64" s="85">
        <f>$E$64*0</f>
        <v>0</v>
      </c>
      <c r="T64" s="152">
        <f t="shared" si="74"/>
        <v>1194</v>
      </c>
    </row>
    <row r="65" spans="1:31" s="4" customFormat="1" x14ac:dyDescent="0.25">
      <c r="A65" s="2"/>
      <c r="B65" s="58"/>
      <c r="C65" s="4" t="s">
        <v>413</v>
      </c>
      <c r="D65" s="4">
        <v>2</v>
      </c>
      <c r="E65" s="5">
        <v>229</v>
      </c>
      <c r="F65" s="5">
        <f>E65*D65</f>
        <v>458</v>
      </c>
      <c r="G65" s="161"/>
      <c r="H65" s="85">
        <f>$E$65*1</f>
        <v>229</v>
      </c>
      <c r="I65" s="85">
        <f>$E$65*0</f>
        <v>0</v>
      </c>
      <c r="J65" s="85">
        <f>$E$65*0</f>
        <v>0</v>
      </c>
      <c r="K65" s="85">
        <f>$E$65*0</f>
        <v>0</v>
      </c>
      <c r="L65" s="85">
        <f>$E$65*0</f>
        <v>0</v>
      </c>
      <c r="M65" s="85">
        <f>$E$65*0</f>
        <v>0</v>
      </c>
      <c r="N65" s="85">
        <f>$E$65*1</f>
        <v>229</v>
      </c>
      <c r="O65" s="85">
        <f>$E$65*0</f>
        <v>0</v>
      </c>
      <c r="P65" s="85">
        <f>$E$65*0</f>
        <v>0</v>
      </c>
      <c r="Q65" s="85">
        <f>$E$65*0</f>
        <v>0</v>
      </c>
      <c r="R65" s="85">
        <f>$E$65*0</f>
        <v>0</v>
      </c>
      <c r="S65" s="85">
        <f>$E$65*0</f>
        <v>0</v>
      </c>
      <c r="T65" s="152">
        <f t="shared" si="74"/>
        <v>458</v>
      </c>
    </row>
    <row r="66" spans="1:31" s="4" customFormat="1" x14ac:dyDescent="0.25">
      <c r="A66" s="2"/>
      <c r="B66" s="58"/>
      <c r="C66" s="4" t="s">
        <v>414</v>
      </c>
      <c r="D66" s="4">
        <v>3</v>
      </c>
      <c r="E66" s="5">
        <v>119</v>
      </c>
      <c r="F66" s="5">
        <f t="shared" si="81"/>
        <v>357</v>
      </c>
      <c r="G66" s="161"/>
      <c r="H66" s="85">
        <f>$E$66*1</f>
        <v>119</v>
      </c>
      <c r="I66" s="85">
        <f t="shared" ref="I66:M66" si="82">$E$66*0</f>
        <v>0</v>
      </c>
      <c r="J66" s="85">
        <f>$E$66*0</f>
        <v>0</v>
      </c>
      <c r="K66" s="85">
        <f>$E$66*1</f>
        <v>119</v>
      </c>
      <c r="L66" s="85">
        <f>$E$66*0</f>
        <v>0</v>
      </c>
      <c r="M66" s="85">
        <f t="shared" si="82"/>
        <v>0</v>
      </c>
      <c r="N66" s="85">
        <f>$E$66*1</f>
        <v>119</v>
      </c>
      <c r="O66" s="85">
        <f>$E$66*0</f>
        <v>0</v>
      </c>
      <c r="P66" s="85">
        <f>$E$66*0</f>
        <v>0</v>
      </c>
      <c r="Q66" s="85">
        <f>$E$66*0</f>
        <v>0</v>
      </c>
      <c r="R66" s="85">
        <f>$E$66*0</f>
        <v>0</v>
      </c>
      <c r="S66" s="85">
        <f>$E$66*0</f>
        <v>0</v>
      </c>
      <c r="T66" s="152">
        <f t="shared" si="74"/>
        <v>357</v>
      </c>
    </row>
    <row r="67" spans="1:31" s="4" customFormat="1" x14ac:dyDescent="0.25">
      <c r="A67" s="2"/>
      <c r="B67" s="58"/>
      <c r="C67" s="4" t="s">
        <v>415</v>
      </c>
      <c r="D67" s="4">
        <v>3</v>
      </c>
      <c r="E67" s="5">
        <v>179</v>
      </c>
      <c r="F67" s="5">
        <f t="shared" si="81"/>
        <v>537</v>
      </c>
      <c r="G67" s="161"/>
      <c r="H67" s="85">
        <f>$E$67*0</f>
        <v>0</v>
      </c>
      <c r="I67" s="85">
        <f t="shared" ref="I67:O67" si="83">$E$67*0</f>
        <v>0</v>
      </c>
      <c r="J67" s="85">
        <f>$E$67*0</f>
        <v>0</v>
      </c>
      <c r="K67" s="85">
        <f>$E$67*1</f>
        <v>179</v>
      </c>
      <c r="L67" s="85">
        <f t="shared" si="83"/>
        <v>0</v>
      </c>
      <c r="M67" s="85">
        <f>$E$67*0</f>
        <v>0</v>
      </c>
      <c r="N67" s="85">
        <f>$E$67*1</f>
        <v>179</v>
      </c>
      <c r="O67" s="85">
        <f t="shared" si="83"/>
        <v>0</v>
      </c>
      <c r="P67" s="85">
        <f>$E$67*0</f>
        <v>0</v>
      </c>
      <c r="Q67" s="85">
        <f>$E$67*1</f>
        <v>179</v>
      </c>
      <c r="R67" s="85">
        <f>$E$67*0</f>
        <v>0</v>
      </c>
      <c r="S67" s="85">
        <f>$E$67*0</f>
        <v>0</v>
      </c>
      <c r="T67" s="152">
        <f t="shared" si="74"/>
        <v>537</v>
      </c>
    </row>
    <row r="68" spans="1:31" s="4" customFormat="1" x14ac:dyDescent="0.25">
      <c r="A68" s="2"/>
      <c r="B68" s="58"/>
      <c r="C68" s="4" t="s">
        <v>416</v>
      </c>
      <c r="D68" s="4">
        <v>3</v>
      </c>
      <c r="E68" s="5">
        <v>200</v>
      </c>
      <c r="F68" s="5">
        <f t="shared" si="81"/>
        <v>600</v>
      </c>
      <c r="G68" s="161"/>
      <c r="H68" s="85">
        <f>$E$68*0</f>
        <v>0</v>
      </c>
      <c r="I68" s="85">
        <f>$E$68*0</f>
        <v>0</v>
      </c>
      <c r="J68" s="85">
        <f>$E$68*0</f>
        <v>0</v>
      </c>
      <c r="K68" s="85">
        <f>$E$68*1</f>
        <v>200</v>
      </c>
      <c r="L68" s="85">
        <f>$E$68*0</f>
        <v>0</v>
      </c>
      <c r="M68" s="85">
        <f>$E$68*0</f>
        <v>0</v>
      </c>
      <c r="N68" s="85">
        <f>$E$68*1</f>
        <v>200</v>
      </c>
      <c r="O68" s="85">
        <f>$E$68*0</f>
        <v>0</v>
      </c>
      <c r="P68" s="85">
        <f>$E$68*0</f>
        <v>0</v>
      </c>
      <c r="Q68" s="85">
        <f>$E$68*1</f>
        <v>200</v>
      </c>
      <c r="R68" s="85">
        <f>$E$68*0</f>
        <v>0</v>
      </c>
      <c r="S68" s="85">
        <f>$E$68*0</f>
        <v>0</v>
      </c>
      <c r="T68" s="152">
        <f t="shared" si="74"/>
        <v>600</v>
      </c>
    </row>
    <row r="69" spans="1:31" s="4" customFormat="1" x14ac:dyDescent="0.25">
      <c r="A69" s="2"/>
      <c r="B69" s="58"/>
      <c r="C69" s="4" t="s">
        <v>377</v>
      </c>
      <c r="D69" s="4">
        <v>0</v>
      </c>
      <c r="E69" s="5">
        <v>286</v>
      </c>
      <c r="F69" s="5">
        <f t="shared" si="81"/>
        <v>0</v>
      </c>
      <c r="G69" s="161"/>
      <c r="H69" s="85">
        <f t="shared" ref="H69:S69" si="84">$E$69*0</f>
        <v>0</v>
      </c>
      <c r="I69" s="85">
        <f t="shared" si="84"/>
        <v>0</v>
      </c>
      <c r="J69" s="85">
        <f t="shared" si="84"/>
        <v>0</v>
      </c>
      <c r="K69" s="85">
        <f t="shared" si="84"/>
        <v>0</v>
      </c>
      <c r="L69" s="85">
        <f t="shared" si="84"/>
        <v>0</v>
      </c>
      <c r="M69" s="85">
        <f t="shared" si="84"/>
        <v>0</v>
      </c>
      <c r="N69" s="85">
        <f t="shared" si="84"/>
        <v>0</v>
      </c>
      <c r="O69" s="85">
        <f t="shared" si="84"/>
        <v>0</v>
      </c>
      <c r="P69" s="85">
        <f t="shared" si="84"/>
        <v>0</v>
      </c>
      <c r="Q69" s="85">
        <f t="shared" si="84"/>
        <v>0</v>
      </c>
      <c r="R69" s="85">
        <f t="shared" si="84"/>
        <v>0</v>
      </c>
      <c r="S69" s="85">
        <f t="shared" si="84"/>
        <v>0</v>
      </c>
      <c r="T69" s="152">
        <f t="shared" si="74"/>
        <v>0</v>
      </c>
    </row>
    <row r="70" spans="1:31" s="4" customFormat="1" x14ac:dyDescent="0.25">
      <c r="A70" s="2"/>
      <c r="B70" s="58"/>
      <c r="C70" s="4" t="s">
        <v>417</v>
      </c>
      <c r="D70" s="4">
        <v>2</v>
      </c>
      <c r="E70" s="5">
        <v>255</v>
      </c>
      <c r="F70" s="5">
        <f t="shared" si="81"/>
        <v>510</v>
      </c>
      <c r="G70" s="161"/>
      <c r="H70" s="85">
        <f>$E$70*0</f>
        <v>0</v>
      </c>
      <c r="I70" s="85">
        <f>$E$70*0</f>
        <v>0</v>
      </c>
      <c r="J70" s="85">
        <f>$E$70*0</f>
        <v>0</v>
      </c>
      <c r="K70" s="85">
        <f t="shared" ref="K70" si="85">$E$70*1</f>
        <v>255</v>
      </c>
      <c r="L70" s="85">
        <f>$E$70*0</f>
        <v>0</v>
      </c>
      <c r="M70" s="85">
        <f>$E$70*0</f>
        <v>0</v>
      </c>
      <c r="N70" s="85">
        <f>$E$70*0</f>
        <v>0</v>
      </c>
      <c r="O70" s="85">
        <f>$E$70*0</f>
        <v>0</v>
      </c>
      <c r="P70" s="85">
        <f>$E$70*0</f>
        <v>0</v>
      </c>
      <c r="Q70" s="85">
        <f t="shared" ref="Q70" si="86">$E$70*1</f>
        <v>255</v>
      </c>
      <c r="R70" s="85">
        <f>$E$70*0</f>
        <v>0</v>
      </c>
      <c r="S70" s="85">
        <f>$E$70*0</f>
        <v>0</v>
      </c>
      <c r="T70" s="152">
        <f t="shared" si="74"/>
        <v>510</v>
      </c>
    </row>
    <row r="71" spans="1:31" s="4" customFormat="1" x14ac:dyDescent="0.25">
      <c r="A71" s="2"/>
      <c r="B71" s="58"/>
      <c r="C71" s="4" t="s">
        <v>357</v>
      </c>
      <c r="D71" s="4">
        <v>0</v>
      </c>
      <c r="E71" s="5">
        <v>150</v>
      </c>
      <c r="F71" s="5">
        <f t="shared" si="81"/>
        <v>0</v>
      </c>
      <c r="G71" s="161"/>
      <c r="H71" s="85">
        <f t="shared" ref="H71:S71" si="87">$E$71*0</f>
        <v>0</v>
      </c>
      <c r="I71" s="85">
        <f t="shared" si="87"/>
        <v>0</v>
      </c>
      <c r="J71" s="85">
        <f t="shared" si="87"/>
        <v>0</v>
      </c>
      <c r="K71" s="85">
        <f t="shared" si="87"/>
        <v>0</v>
      </c>
      <c r="L71" s="85">
        <f t="shared" si="87"/>
        <v>0</v>
      </c>
      <c r="M71" s="85">
        <f t="shared" si="87"/>
        <v>0</v>
      </c>
      <c r="N71" s="85">
        <f t="shared" si="87"/>
        <v>0</v>
      </c>
      <c r="O71" s="85">
        <f t="shared" si="87"/>
        <v>0</v>
      </c>
      <c r="P71" s="85">
        <f t="shared" si="87"/>
        <v>0</v>
      </c>
      <c r="Q71" s="85">
        <f t="shared" si="87"/>
        <v>0</v>
      </c>
      <c r="R71" s="85">
        <f t="shared" si="87"/>
        <v>0</v>
      </c>
      <c r="S71" s="85">
        <f t="shared" si="87"/>
        <v>0</v>
      </c>
      <c r="T71" s="152">
        <f t="shared" si="74"/>
        <v>0</v>
      </c>
    </row>
    <row r="72" spans="1:31" s="4" customFormat="1" x14ac:dyDescent="0.25">
      <c r="A72" s="2"/>
      <c r="B72" s="58"/>
      <c r="C72" s="4" t="s">
        <v>418</v>
      </c>
      <c r="D72" s="4">
        <v>1</v>
      </c>
      <c r="E72" s="5">
        <v>181</v>
      </c>
      <c r="F72" s="5">
        <f t="shared" si="81"/>
        <v>181</v>
      </c>
      <c r="G72" s="161"/>
      <c r="H72" s="85">
        <f>$E$72*1</f>
        <v>181</v>
      </c>
      <c r="I72" s="85">
        <f t="shared" ref="I72:S72" si="88">$E$72*0</f>
        <v>0</v>
      </c>
      <c r="J72" s="85">
        <f t="shared" si="88"/>
        <v>0</v>
      </c>
      <c r="K72" s="85">
        <f t="shared" si="88"/>
        <v>0</v>
      </c>
      <c r="L72" s="85">
        <f t="shared" si="88"/>
        <v>0</v>
      </c>
      <c r="M72" s="85">
        <f t="shared" si="88"/>
        <v>0</v>
      </c>
      <c r="N72" s="85">
        <f t="shared" si="88"/>
        <v>0</v>
      </c>
      <c r="O72" s="85">
        <f t="shared" si="88"/>
        <v>0</v>
      </c>
      <c r="P72" s="85">
        <f t="shared" si="88"/>
        <v>0</v>
      </c>
      <c r="Q72" s="85">
        <f t="shared" si="88"/>
        <v>0</v>
      </c>
      <c r="R72" s="85">
        <f t="shared" si="88"/>
        <v>0</v>
      </c>
      <c r="S72" s="85">
        <f t="shared" si="88"/>
        <v>0</v>
      </c>
      <c r="T72" s="152">
        <f t="shared" si="74"/>
        <v>181</v>
      </c>
    </row>
    <row r="73" spans="1:31" s="4" customFormat="1" x14ac:dyDescent="0.25">
      <c r="A73" s="2"/>
      <c r="B73" s="58"/>
      <c r="C73" s="4" t="s">
        <v>368</v>
      </c>
      <c r="D73" s="4">
        <v>1</v>
      </c>
      <c r="E73" s="5">
        <v>200</v>
      </c>
      <c r="F73" s="5">
        <f t="shared" si="81"/>
        <v>200</v>
      </c>
      <c r="G73" s="161"/>
      <c r="H73" s="85">
        <f>$E$73*1</f>
        <v>200</v>
      </c>
      <c r="I73" s="85">
        <f t="shared" ref="I73:M73" si="89">$E$73*0</f>
        <v>0</v>
      </c>
      <c r="J73" s="85">
        <f t="shared" si="89"/>
        <v>0</v>
      </c>
      <c r="K73" s="85">
        <f t="shared" si="89"/>
        <v>0</v>
      </c>
      <c r="L73" s="85">
        <f t="shared" si="89"/>
        <v>0</v>
      </c>
      <c r="M73" s="85">
        <f t="shared" si="89"/>
        <v>0</v>
      </c>
      <c r="N73" s="85">
        <f>$E$73*0</f>
        <v>0</v>
      </c>
      <c r="O73" s="85">
        <f t="shared" ref="O73:S73" si="90">$E$73*0</f>
        <v>0</v>
      </c>
      <c r="P73" s="85">
        <f t="shared" si="90"/>
        <v>0</v>
      </c>
      <c r="Q73" s="85">
        <f t="shared" si="90"/>
        <v>0</v>
      </c>
      <c r="R73" s="85">
        <f t="shared" si="90"/>
        <v>0</v>
      </c>
      <c r="S73" s="85">
        <f t="shared" si="90"/>
        <v>0</v>
      </c>
      <c r="T73" s="152">
        <f t="shared" si="74"/>
        <v>200</v>
      </c>
    </row>
    <row r="74" spans="1:31" s="4" customFormat="1" x14ac:dyDescent="0.25">
      <c r="A74" s="2"/>
      <c r="B74" s="58"/>
      <c r="C74" s="4" t="s">
        <v>419</v>
      </c>
      <c r="D74" s="4">
        <v>2</v>
      </c>
      <c r="E74" s="5">
        <v>26</v>
      </c>
      <c r="F74" s="5">
        <f t="shared" si="81"/>
        <v>52</v>
      </c>
      <c r="G74" s="161"/>
      <c r="H74" s="85">
        <f>$E$74*1</f>
        <v>26</v>
      </c>
      <c r="I74" s="85">
        <f>$E$74*0</f>
        <v>0</v>
      </c>
      <c r="J74" s="85">
        <f>$E$74*0</f>
        <v>0</v>
      </c>
      <c r="K74" s="85">
        <f>$E$74*0</f>
        <v>0</v>
      </c>
      <c r="L74" s="85">
        <f>$E$74*0</f>
        <v>0</v>
      </c>
      <c r="M74" s="85">
        <f>$E$74*0</f>
        <v>0</v>
      </c>
      <c r="N74" s="85">
        <f>$E$74*1</f>
        <v>26</v>
      </c>
      <c r="O74" s="85">
        <f>$E$74*0</f>
        <v>0</v>
      </c>
      <c r="P74" s="85">
        <f>$E$74*0</f>
        <v>0</v>
      </c>
      <c r="Q74" s="85">
        <f>$E$74*0</f>
        <v>0</v>
      </c>
      <c r="R74" s="85">
        <f>$E$74*0</f>
        <v>0</v>
      </c>
      <c r="S74" s="85">
        <f>$E$74*0</f>
        <v>0</v>
      </c>
      <c r="T74" s="152">
        <f t="shared" si="74"/>
        <v>52</v>
      </c>
    </row>
    <row r="75" spans="1:31" s="4" customFormat="1" x14ac:dyDescent="0.25">
      <c r="A75" s="2"/>
      <c r="B75" s="58"/>
      <c r="C75" s="4" t="s">
        <v>286</v>
      </c>
      <c r="D75" s="4">
        <v>2</v>
      </c>
      <c r="E75" s="5">
        <v>60</v>
      </c>
      <c r="F75" s="5">
        <f t="shared" si="81"/>
        <v>120</v>
      </c>
      <c r="G75" s="161"/>
      <c r="H75" s="85">
        <f>$E$75*1</f>
        <v>60</v>
      </c>
      <c r="I75" s="85">
        <f>$E$75*0</f>
        <v>0</v>
      </c>
      <c r="J75" s="85">
        <f>$E$75*0</f>
        <v>0</v>
      </c>
      <c r="K75" s="85">
        <f>$E$75*0</f>
        <v>0</v>
      </c>
      <c r="L75" s="85">
        <f>$E$75*0</f>
        <v>0</v>
      </c>
      <c r="M75" s="85">
        <f>$E$75*0</f>
        <v>0</v>
      </c>
      <c r="N75" s="85">
        <f>$E$75*1</f>
        <v>60</v>
      </c>
      <c r="O75" s="85">
        <f t="shared" ref="O75:S75" si="91">$E$75*0</f>
        <v>0</v>
      </c>
      <c r="P75" s="85">
        <f t="shared" si="91"/>
        <v>0</v>
      </c>
      <c r="Q75" s="85">
        <f t="shared" si="91"/>
        <v>0</v>
      </c>
      <c r="R75" s="85">
        <f t="shared" si="91"/>
        <v>0</v>
      </c>
      <c r="S75" s="85">
        <f t="shared" si="91"/>
        <v>0</v>
      </c>
      <c r="T75" s="152">
        <f t="shared" si="74"/>
        <v>120</v>
      </c>
    </row>
    <row r="76" spans="1:31" s="4" customFormat="1" x14ac:dyDescent="0.25">
      <c r="A76" s="2"/>
      <c r="B76" s="58"/>
      <c r="C76" s="4" t="s">
        <v>287</v>
      </c>
      <c r="D76" s="4">
        <v>12</v>
      </c>
      <c r="E76" s="5">
        <v>110</v>
      </c>
      <c r="F76" s="5">
        <f t="shared" si="81"/>
        <v>1320</v>
      </c>
      <c r="G76" s="161"/>
      <c r="H76" s="85">
        <f>$E$76*1</f>
        <v>110</v>
      </c>
      <c r="I76" s="85">
        <f t="shared" ref="I76:S76" si="92">$E$76*1</f>
        <v>110</v>
      </c>
      <c r="J76" s="85">
        <f t="shared" si="92"/>
        <v>110</v>
      </c>
      <c r="K76" s="85">
        <f t="shared" si="92"/>
        <v>110</v>
      </c>
      <c r="L76" s="85">
        <f t="shared" si="92"/>
        <v>110</v>
      </c>
      <c r="M76" s="85">
        <f t="shared" si="92"/>
        <v>110</v>
      </c>
      <c r="N76" s="85">
        <f t="shared" si="92"/>
        <v>110</v>
      </c>
      <c r="O76" s="85">
        <f t="shared" si="92"/>
        <v>110</v>
      </c>
      <c r="P76" s="85">
        <f t="shared" si="92"/>
        <v>110</v>
      </c>
      <c r="Q76" s="85">
        <f t="shared" si="92"/>
        <v>110</v>
      </c>
      <c r="R76" s="85">
        <f t="shared" si="92"/>
        <v>110</v>
      </c>
      <c r="S76" s="85">
        <f t="shared" si="92"/>
        <v>110</v>
      </c>
      <c r="T76" s="152">
        <f t="shared" si="74"/>
        <v>1320</v>
      </c>
    </row>
    <row r="77" spans="1:31" s="4" customFormat="1" x14ac:dyDescent="0.25">
      <c r="A77" s="2"/>
      <c r="B77" s="58"/>
      <c r="C77" s="4" t="s">
        <v>420</v>
      </c>
      <c r="D77" s="4">
        <v>1</v>
      </c>
      <c r="E77" s="5">
        <v>460</v>
      </c>
      <c r="F77" s="5">
        <f t="shared" si="81"/>
        <v>460</v>
      </c>
      <c r="G77" s="161"/>
      <c r="H77" s="85">
        <f>$E$77*1</f>
        <v>460</v>
      </c>
      <c r="I77" s="85">
        <f t="shared" ref="I77:S77" si="93">$E$77*0</f>
        <v>0</v>
      </c>
      <c r="J77" s="85">
        <f t="shared" si="93"/>
        <v>0</v>
      </c>
      <c r="K77" s="85">
        <f t="shared" si="93"/>
        <v>0</v>
      </c>
      <c r="L77" s="85">
        <f t="shared" si="93"/>
        <v>0</v>
      </c>
      <c r="M77" s="85">
        <f t="shared" si="93"/>
        <v>0</v>
      </c>
      <c r="N77" s="85">
        <f t="shared" si="93"/>
        <v>0</v>
      </c>
      <c r="O77" s="85">
        <f t="shared" si="93"/>
        <v>0</v>
      </c>
      <c r="P77" s="85">
        <f t="shared" si="93"/>
        <v>0</v>
      </c>
      <c r="Q77" s="85">
        <f t="shared" si="93"/>
        <v>0</v>
      </c>
      <c r="R77" s="85">
        <f t="shared" si="93"/>
        <v>0</v>
      </c>
      <c r="S77" s="85">
        <f t="shared" si="93"/>
        <v>0</v>
      </c>
      <c r="T77" s="152">
        <f t="shared" si="74"/>
        <v>460</v>
      </c>
    </row>
    <row r="78" spans="1:31" s="4" customFormat="1" ht="13.8" thickBot="1" x14ac:dyDescent="0.3">
      <c r="A78" s="2"/>
      <c r="B78" s="58"/>
      <c r="C78" s="4" t="s">
        <v>421</v>
      </c>
      <c r="D78" s="4">
        <v>6</v>
      </c>
      <c r="E78" s="5">
        <v>82</v>
      </c>
      <c r="F78" s="5">
        <f>+T78</f>
        <v>496</v>
      </c>
      <c r="G78" s="161"/>
      <c r="H78" s="85">
        <f>$E$78*1</f>
        <v>82</v>
      </c>
      <c r="I78" s="85">
        <f>$E$78*0</f>
        <v>0</v>
      </c>
      <c r="J78" s="85">
        <f>$E$78*1</f>
        <v>82</v>
      </c>
      <c r="K78" s="85">
        <f>$E$78*0</f>
        <v>0</v>
      </c>
      <c r="L78" s="85">
        <f>$E$78*1</f>
        <v>82</v>
      </c>
      <c r="M78" s="85">
        <f>$E$78*0</f>
        <v>0</v>
      </c>
      <c r="N78" s="85">
        <f>$E$78*1</f>
        <v>82</v>
      </c>
      <c r="O78" s="85">
        <f>$E$78*0</f>
        <v>0</v>
      </c>
      <c r="P78" s="85">
        <f>$E$78*1</f>
        <v>82</v>
      </c>
      <c r="Q78" s="85">
        <f>$E$78*0</f>
        <v>0</v>
      </c>
      <c r="R78" s="85">
        <v>86</v>
      </c>
      <c r="S78" s="85">
        <f>$E$78*0</f>
        <v>0</v>
      </c>
      <c r="T78" s="152">
        <f t="shared" si="74"/>
        <v>496</v>
      </c>
    </row>
    <row r="79" spans="1:31" s="10" customFormat="1" ht="16.2" thickBot="1" x14ac:dyDescent="0.35">
      <c r="A79" s="93"/>
      <c r="B79" s="93"/>
      <c r="C79" s="264" t="s">
        <v>217</v>
      </c>
      <c r="D79" s="265"/>
      <c r="E79" s="265"/>
      <c r="F79" s="266"/>
      <c r="G79" s="94">
        <f>SUM(F59:F78)</f>
        <v>10296</v>
      </c>
      <c r="H79" s="94">
        <f t="shared" ref="H79:T79" si="94">SUM(H59:H78)</f>
        <v>2808</v>
      </c>
      <c r="I79" s="94">
        <f t="shared" si="94"/>
        <v>290</v>
      </c>
      <c r="J79" s="94">
        <f t="shared" si="94"/>
        <v>603</v>
      </c>
      <c r="K79" s="94">
        <f t="shared" si="94"/>
        <v>1441</v>
      </c>
      <c r="L79" s="94">
        <f t="shared" si="94"/>
        <v>603</v>
      </c>
      <c r="M79" s="94">
        <f t="shared" si="94"/>
        <v>290</v>
      </c>
      <c r="N79" s="94">
        <f t="shared" si="94"/>
        <v>2138</v>
      </c>
      <c r="O79" s="94">
        <f t="shared" si="94"/>
        <v>290</v>
      </c>
      <c r="P79" s="94">
        <f t="shared" si="94"/>
        <v>603</v>
      </c>
      <c r="Q79" s="94">
        <f t="shared" si="94"/>
        <v>924</v>
      </c>
      <c r="R79" s="94">
        <f t="shared" si="94"/>
        <v>196</v>
      </c>
      <c r="S79" s="94">
        <f t="shared" si="94"/>
        <v>110</v>
      </c>
      <c r="T79" s="94">
        <f t="shared" si="94"/>
        <v>10296</v>
      </c>
    </row>
    <row r="80" spans="1:31" x14ac:dyDescent="0.25">
      <c r="B80" s="48"/>
      <c r="G80" s="146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153"/>
      <c r="T80" s="154"/>
      <c r="U80" s="5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s="4" customFormat="1" x14ac:dyDescent="0.25">
      <c r="A81" s="4">
        <v>221</v>
      </c>
      <c r="B81" s="48">
        <v>22106</v>
      </c>
      <c r="C81" s="4" t="s">
        <v>218</v>
      </c>
      <c r="F81" s="162"/>
      <c r="G81" s="161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7"/>
      <c r="T81" s="152"/>
    </row>
    <row r="82" spans="1:31" s="4" customFormat="1" ht="13.8" thickBot="1" x14ac:dyDescent="0.3">
      <c r="A82" s="2"/>
      <c r="B82" s="58"/>
      <c r="C82" s="4" t="s">
        <v>288</v>
      </c>
      <c r="D82" s="4">
        <v>110</v>
      </c>
      <c r="E82" s="5">
        <v>20</v>
      </c>
      <c r="F82" s="5">
        <f>E82*D82</f>
        <v>2200</v>
      </c>
      <c r="G82" s="161"/>
      <c r="H82" s="85">
        <f>$E$82*8</f>
        <v>160</v>
      </c>
      <c r="I82" s="85">
        <f>$E$82*8</f>
        <v>160</v>
      </c>
      <c r="J82" s="85">
        <f>$E$82*8</f>
        <v>160</v>
      </c>
      <c r="K82" s="85">
        <f>$E$82*8</f>
        <v>160</v>
      </c>
      <c r="L82" s="85">
        <f>$E$82*11</f>
        <v>220</v>
      </c>
      <c r="M82" s="85">
        <f>$E$82*11</f>
        <v>220</v>
      </c>
      <c r="N82" s="85">
        <f>$E$82*11</f>
        <v>220</v>
      </c>
      <c r="O82" s="85">
        <f>$E$82*11</f>
        <v>220</v>
      </c>
      <c r="P82" s="85">
        <f>$E$82*9</f>
        <v>180</v>
      </c>
      <c r="Q82" s="85">
        <f>$E$82*9</f>
        <v>180</v>
      </c>
      <c r="R82" s="85">
        <f>$E$82*8</f>
        <v>160</v>
      </c>
      <c r="S82" s="85">
        <f>$E$82*8</f>
        <v>160</v>
      </c>
      <c r="T82" s="152">
        <f>SUM(H82:S82)</f>
        <v>2200</v>
      </c>
    </row>
    <row r="83" spans="1:31" s="10" customFormat="1" ht="16.2" thickBot="1" x14ac:dyDescent="0.35">
      <c r="A83" s="93"/>
      <c r="B83" s="93"/>
      <c r="C83" s="264" t="s">
        <v>219</v>
      </c>
      <c r="D83" s="265"/>
      <c r="E83" s="265"/>
      <c r="F83" s="266"/>
      <c r="G83" s="94">
        <f>SUM(F79:F82)</f>
        <v>2200</v>
      </c>
      <c r="H83" s="94">
        <f t="shared" ref="H83:T83" si="95">SUM(H82:H82)</f>
        <v>160</v>
      </c>
      <c r="I83" s="94">
        <f t="shared" si="95"/>
        <v>160</v>
      </c>
      <c r="J83" s="94">
        <f t="shared" si="95"/>
        <v>160</v>
      </c>
      <c r="K83" s="94">
        <f t="shared" si="95"/>
        <v>160</v>
      </c>
      <c r="L83" s="94">
        <f t="shared" si="95"/>
        <v>220</v>
      </c>
      <c r="M83" s="94">
        <f t="shared" si="95"/>
        <v>220</v>
      </c>
      <c r="N83" s="94">
        <f t="shared" si="95"/>
        <v>220</v>
      </c>
      <c r="O83" s="94">
        <f t="shared" si="95"/>
        <v>220</v>
      </c>
      <c r="P83" s="94">
        <f t="shared" si="95"/>
        <v>180</v>
      </c>
      <c r="Q83" s="94">
        <f t="shared" si="95"/>
        <v>180</v>
      </c>
      <c r="R83" s="94">
        <f t="shared" si="95"/>
        <v>160</v>
      </c>
      <c r="S83" s="94">
        <f t="shared" si="95"/>
        <v>160</v>
      </c>
      <c r="T83" s="94">
        <f t="shared" si="95"/>
        <v>2200</v>
      </c>
    </row>
    <row r="84" spans="1:31" x14ac:dyDescent="0.25">
      <c r="B84" s="48"/>
      <c r="G84" s="146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153"/>
      <c r="T84" s="154"/>
      <c r="U84" s="5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s="4" customFormat="1" x14ac:dyDescent="0.25">
      <c r="A85" s="4">
        <v>261</v>
      </c>
      <c r="B85" s="48">
        <v>26101</v>
      </c>
      <c r="C85" s="4" t="s">
        <v>7</v>
      </c>
      <c r="G85" s="146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151"/>
      <c r="T85" s="152"/>
    </row>
    <row r="86" spans="1:31" s="4" customFormat="1" ht="13.8" thickBot="1" x14ac:dyDescent="0.3">
      <c r="A86" s="2"/>
      <c r="B86" s="48"/>
      <c r="C86" s="4" t="s">
        <v>82</v>
      </c>
      <c r="D86" s="4">
        <v>800</v>
      </c>
      <c r="E86" s="163">
        <v>100</v>
      </c>
      <c r="F86" s="5">
        <f>E86*D86</f>
        <v>80000</v>
      </c>
      <c r="G86" s="146"/>
      <c r="H86" s="164">
        <f>$E$86*66</f>
        <v>6600</v>
      </c>
      <c r="I86" s="164">
        <f>$E$86*67</f>
        <v>6700</v>
      </c>
      <c r="J86" s="164">
        <f>$E$86*67</f>
        <v>6700</v>
      </c>
      <c r="K86" s="164">
        <f>$E$86*67</f>
        <v>6700</v>
      </c>
      <c r="L86" s="164">
        <f>$E$86*67</f>
        <v>6700</v>
      </c>
      <c r="M86" s="164">
        <f>$E$86*67</f>
        <v>6700</v>
      </c>
      <c r="N86" s="164">
        <f>$E$86*69</f>
        <v>6900</v>
      </c>
      <c r="O86" s="164">
        <f>$E$86*66</f>
        <v>6600</v>
      </c>
      <c r="P86" s="164">
        <f>$E$86*66</f>
        <v>6600</v>
      </c>
      <c r="Q86" s="164">
        <f>$E$86*66</f>
        <v>6600</v>
      </c>
      <c r="R86" s="164">
        <f>$E$86*66</f>
        <v>6600</v>
      </c>
      <c r="S86" s="164">
        <f>$E$86*66</f>
        <v>6600</v>
      </c>
      <c r="T86" s="165">
        <f>SUM(H86:S86)</f>
        <v>80000</v>
      </c>
    </row>
    <row r="87" spans="1:31" s="10" customFormat="1" ht="16.2" thickBot="1" x14ac:dyDescent="0.35">
      <c r="A87" s="93"/>
      <c r="B87" s="92"/>
      <c r="C87" s="264" t="s">
        <v>142</v>
      </c>
      <c r="D87" s="265"/>
      <c r="E87" s="265"/>
      <c r="F87" s="266"/>
      <c r="G87" s="94">
        <f>SUM(F86)</f>
        <v>80000</v>
      </c>
      <c r="H87" s="94">
        <f>SUM(H86)</f>
        <v>6600</v>
      </c>
      <c r="I87" s="94">
        <f t="shared" ref="I87:S87" si="96">SUM(I86)</f>
        <v>6700</v>
      </c>
      <c r="J87" s="94">
        <f t="shared" si="96"/>
        <v>6700</v>
      </c>
      <c r="K87" s="94">
        <f t="shared" si="96"/>
        <v>6700</v>
      </c>
      <c r="L87" s="94">
        <f t="shared" si="96"/>
        <v>6700</v>
      </c>
      <c r="M87" s="94">
        <f t="shared" si="96"/>
        <v>6700</v>
      </c>
      <c r="N87" s="94">
        <f t="shared" si="96"/>
        <v>6900</v>
      </c>
      <c r="O87" s="94">
        <f t="shared" si="96"/>
        <v>6600</v>
      </c>
      <c r="P87" s="94">
        <f t="shared" si="96"/>
        <v>6600</v>
      </c>
      <c r="Q87" s="94">
        <f t="shared" si="96"/>
        <v>6600</v>
      </c>
      <c r="R87" s="94">
        <f t="shared" si="96"/>
        <v>6600</v>
      </c>
      <c r="S87" s="94">
        <f t="shared" si="96"/>
        <v>6600</v>
      </c>
      <c r="T87" s="94">
        <f>SUM(T86)</f>
        <v>80000</v>
      </c>
    </row>
    <row r="88" spans="1:31" x14ac:dyDescent="0.25">
      <c r="B88" s="48"/>
      <c r="G88" s="146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153"/>
      <c r="T88" s="154"/>
      <c r="U88" s="5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s="4" customFormat="1" x14ac:dyDescent="0.25">
      <c r="A89" s="4">
        <v>261</v>
      </c>
      <c r="B89" s="48">
        <v>26102</v>
      </c>
      <c r="C89" s="4" t="s">
        <v>8</v>
      </c>
      <c r="G89" s="146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151"/>
      <c r="T89" s="152"/>
    </row>
    <row r="90" spans="1:31" s="4" customFormat="1" x14ac:dyDescent="0.25">
      <c r="B90" s="48"/>
      <c r="C90" s="56" t="s">
        <v>422</v>
      </c>
      <c r="D90" s="4">
        <v>6</v>
      </c>
      <c r="E90" s="166">
        <v>510</v>
      </c>
      <c r="F90" s="5">
        <f t="shared" ref="F90:F92" si="97">E90*D90</f>
        <v>3060</v>
      </c>
      <c r="G90" s="146"/>
      <c r="H90" s="164">
        <f>$E$90*1</f>
        <v>510</v>
      </c>
      <c r="I90" s="164">
        <f t="shared" ref="I90:S90" si="98">$E$90*0</f>
        <v>0</v>
      </c>
      <c r="J90" s="164">
        <f>$E$90*1</f>
        <v>510</v>
      </c>
      <c r="K90" s="164">
        <f>$E$90*0</f>
        <v>0</v>
      </c>
      <c r="L90" s="164">
        <f>$E$90*1</f>
        <v>510</v>
      </c>
      <c r="M90" s="164">
        <f t="shared" si="98"/>
        <v>0</v>
      </c>
      <c r="N90" s="164">
        <f>$E$90*1</f>
        <v>510</v>
      </c>
      <c r="O90" s="164">
        <f t="shared" si="98"/>
        <v>0</v>
      </c>
      <c r="P90" s="164">
        <f>$E$90*1</f>
        <v>510</v>
      </c>
      <c r="Q90" s="164">
        <f>$E$90*0</f>
        <v>0</v>
      </c>
      <c r="R90" s="164">
        <f>$E$90*1</f>
        <v>510</v>
      </c>
      <c r="S90" s="164">
        <f t="shared" si="98"/>
        <v>0</v>
      </c>
      <c r="T90" s="165">
        <f t="shared" ref="T90:T92" si="99">SUM(H90:S90)</f>
        <v>3060</v>
      </c>
    </row>
    <row r="91" spans="1:31" s="4" customFormat="1" x14ac:dyDescent="0.25">
      <c r="B91" s="48"/>
      <c r="C91" s="4" t="s">
        <v>423</v>
      </c>
      <c r="D91" s="4">
        <v>6</v>
      </c>
      <c r="E91" s="166">
        <v>96</v>
      </c>
      <c r="F91" s="5">
        <f t="shared" si="97"/>
        <v>576</v>
      </c>
      <c r="H91" s="167">
        <f>$E$91*1</f>
        <v>96</v>
      </c>
      <c r="I91" s="168">
        <f>$E$91*0</f>
        <v>0</v>
      </c>
      <c r="J91" s="164">
        <f>$E$91*1</f>
        <v>96</v>
      </c>
      <c r="K91" s="164">
        <f>$E$91*0</f>
        <v>0</v>
      </c>
      <c r="L91" s="164">
        <f>$E$91*1</f>
        <v>96</v>
      </c>
      <c r="M91" s="164">
        <f>$E$91*0</f>
        <v>0</v>
      </c>
      <c r="N91" s="164">
        <f>$E$91*1</f>
        <v>96</v>
      </c>
      <c r="O91" s="164">
        <f>$E$91*0</f>
        <v>0</v>
      </c>
      <c r="P91" s="164">
        <f>$E$91*1</f>
        <v>96</v>
      </c>
      <c r="Q91" s="164">
        <f>$E$91*0</f>
        <v>0</v>
      </c>
      <c r="R91" s="164">
        <f>$E$91*1</f>
        <v>96</v>
      </c>
      <c r="S91" s="169">
        <f>$E$91*0</f>
        <v>0</v>
      </c>
      <c r="T91" s="165">
        <f t="shared" si="99"/>
        <v>576</v>
      </c>
    </row>
    <row r="92" spans="1:31" s="4" customFormat="1" ht="13.8" thickBot="1" x14ac:dyDescent="0.3">
      <c r="B92" s="48"/>
      <c r="C92" s="4" t="s">
        <v>424</v>
      </c>
      <c r="D92" s="4">
        <v>2</v>
      </c>
      <c r="E92" s="166">
        <v>175</v>
      </c>
      <c r="F92" s="5">
        <f t="shared" si="97"/>
        <v>350</v>
      </c>
      <c r="H92" s="170">
        <f>$E$92*1</f>
        <v>175</v>
      </c>
      <c r="I92" s="171">
        <f>$E$92*0</f>
        <v>0</v>
      </c>
      <c r="J92" s="172">
        <f t="shared" ref="J92:S92" si="100">$E$92*0</f>
        <v>0</v>
      </c>
      <c r="K92" s="172">
        <f t="shared" si="100"/>
        <v>0</v>
      </c>
      <c r="L92" s="172">
        <f t="shared" si="100"/>
        <v>0</v>
      </c>
      <c r="M92" s="172">
        <f t="shared" si="100"/>
        <v>0</v>
      </c>
      <c r="N92" s="172">
        <f>$E$92*1</f>
        <v>175</v>
      </c>
      <c r="O92" s="172">
        <f t="shared" si="100"/>
        <v>0</v>
      </c>
      <c r="P92" s="172">
        <f t="shared" si="100"/>
        <v>0</v>
      </c>
      <c r="Q92" s="172">
        <f>$E$92*0</f>
        <v>0</v>
      </c>
      <c r="R92" s="172">
        <f t="shared" si="100"/>
        <v>0</v>
      </c>
      <c r="S92" s="173">
        <f t="shared" si="100"/>
        <v>0</v>
      </c>
      <c r="T92" s="165">
        <f t="shared" si="99"/>
        <v>350</v>
      </c>
    </row>
    <row r="93" spans="1:31" s="10" customFormat="1" ht="16.2" thickBot="1" x14ac:dyDescent="0.35">
      <c r="A93" s="93"/>
      <c r="B93" s="92"/>
      <c r="C93" s="264" t="s">
        <v>45</v>
      </c>
      <c r="D93" s="265"/>
      <c r="E93" s="265"/>
      <c r="F93" s="266"/>
      <c r="G93" s="94">
        <f>SUM(F90:F92)</f>
        <v>3986</v>
      </c>
      <c r="H93" s="174">
        <f>SUM(H90:H92)</f>
        <v>781</v>
      </c>
      <c r="I93" s="174">
        <f t="shared" ref="I93:S93" si="101">SUM(I90:I92)</f>
        <v>0</v>
      </c>
      <c r="J93" s="174">
        <f t="shared" si="101"/>
        <v>606</v>
      </c>
      <c r="K93" s="174">
        <f t="shared" si="101"/>
        <v>0</v>
      </c>
      <c r="L93" s="174">
        <f t="shared" si="101"/>
        <v>606</v>
      </c>
      <c r="M93" s="174">
        <f t="shared" si="101"/>
        <v>0</v>
      </c>
      <c r="N93" s="174">
        <f t="shared" si="101"/>
        <v>781</v>
      </c>
      <c r="O93" s="174">
        <f t="shared" si="101"/>
        <v>0</v>
      </c>
      <c r="P93" s="174">
        <f t="shared" si="101"/>
        <v>606</v>
      </c>
      <c r="Q93" s="174">
        <f t="shared" si="101"/>
        <v>0</v>
      </c>
      <c r="R93" s="174">
        <f t="shared" si="101"/>
        <v>606</v>
      </c>
      <c r="S93" s="174">
        <f t="shared" si="101"/>
        <v>0</v>
      </c>
      <c r="T93" s="94">
        <f>SUM(T90:T92)</f>
        <v>3986</v>
      </c>
    </row>
    <row r="94" spans="1:31" x14ac:dyDescent="0.25">
      <c r="B94" s="48"/>
      <c r="G94" s="146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153"/>
      <c r="T94" s="154"/>
      <c r="U94" s="5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s="4" customFormat="1" x14ac:dyDescent="0.25">
      <c r="A95" s="4">
        <v>291</v>
      </c>
      <c r="B95" s="48">
        <v>29101</v>
      </c>
      <c r="C95" s="4" t="s">
        <v>141</v>
      </c>
      <c r="F95" s="5"/>
      <c r="G95" s="146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151"/>
      <c r="T95" s="152"/>
    </row>
    <row r="96" spans="1:31" s="4" customFormat="1" ht="13.8" thickBot="1" x14ac:dyDescent="0.3">
      <c r="A96" s="2"/>
      <c r="B96" s="48"/>
      <c r="C96" s="4" t="s">
        <v>425</v>
      </c>
      <c r="D96" s="4">
        <v>1</v>
      </c>
      <c r="E96" s="5">
        <v>227</v>
      </c>
      <c r="F96" s="5">
        <f>E96*D96</f>
        <v>227</v>
      </c>
      <c r="G96" s="146"/>
      <c r="H96" s="164">
        <f>$E$96*1</f>
        <v>227</v>
      </c>
      <c r="I96" s="164">
        <f t="shared" ref="I96:S96" si="102">$E$96*0</f>
        <v>0</v>
      </c>
      <c r="J96" s="164">
        <f t="shared" si="102"/>
        <v>0</v>
      </c>
      <c r="K96" s="164">
        <f t="shared" si="102"/>
        <v>0</v>
      </c>
      <c r="L96" s="164">
        <f t="shared" si="102"/>
        <v>0</v>
      </c>
      <c r="M96" s="164">
        <f t="shared" si="102"/>
        <v>0</v>
      </c>
      <c r="N96" s="164">
        <f t="shared" si="102"/>
        <v>0</v>
      </c>
      <c r="O96" s="164">
        <f t="shared" si="102"/>
        <v>0</v>
      </c>
      <c r="P96" s="164">
        <f t="shared" si="102"/>
        <v>0</v>
      </c>
      <c r="Q96" s="164">
        <f t="shared" si="102"/>
        <v>0</v>
      </c>
      <c r="R96" s="164">
        <f t="shared" si="102"/>
        <v>0</v>
      </c>
      <c r="S96" s="164">
        <f t="shared" si="102"/>
        <v>0</v>
      </c>
      <c r="T96" s="165">
        <f>SUM(H96:S96)</f>
        <v>227</v>
      </c>
    </row>
    <row r="97" spans="1:31" s="10" customFormat="1" ht="16.2" thickBot="1" x14ac:dyDescent="0.35">
      <c r="A97" s="93"/>
      <c r="B97" s="92"/>
      <c r="C97" s="264" t="s">
        <v>220</v>
      </c>
      <c r="D97" s="265"/>
      <c r="E97" s="265"/>
      <c r="F97" s="266"/>
      <c r="G97" s="94">
        <f>SUM(F96)</f>
        <v>227</v>
      </c>
      <c r="H97" s="94">
        <f>SUM(H96)</f>
        <v>227</v>
      </c>
      <c r="I97" s="94">
        <f t="shared" ref="I97:S97" si="103">SUM(I96)</f>
        <v>0</v>
      </c>
      <c r="J97" s="94">
        <f t="shared" si="103"/>
        <v>0</v>
      </c>
      <c r="K97" s="94">
        <f t="shared" si="103"/>
        <v>0</v>
      </c>
      <c r="L97" s="94">
        <f t="shared" si="103"/>
        <v>0</v>
      </c>
      <c r="M97" s="94">
        <f t="shared" si="103"/>
        <v>0</v>
      </c>
      <c r="N97" s="94">
        <f t="shared" si="103"/>
        <v>0</v>
      </c>
      <c r="O97" s="94">
        <f t="shared" si="103"/>
        <v>0</v>
      </c>
      <c r="P97" s="94">
        <f t="shared" si="103"/>
        <v>0</v>
      </c>
      <c r="Q97" s="94">
        <f t="shared" si="103"/>
        <v>0</v>
      </c>
      <c r="R97" s="94">
        <f t="shared" si="103"/>
        <v>0</v>
      </c>
      <c r="S97" s="94">
        <f t="shared" si="103"/>
        <v>0</v>
      </c>
      <c r="T97" s="94">
        <f>SUM(T96)</f>
        <v>227</v>
      </c>
    </row>
    <row r="98" spans="1:31" x14ac:dyDescent="0.25">
      <c r="B98" s="48"/>
      <c r="G98" s="146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153"/>
      <c r="T98" s="154"/>
      <c r="U98" s="5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s="4" customFormat="1" x14ac:dyDescent="0.25">
      <c r="A99" s="4">
        <v>271</v>
      </c>
      <c r="B99" s="48">
        <v>27101</v>
      </c>
      <c r="C99" s="4" t="s">
        <v>340</v>
      </c>
      <c r="F99" s="5"/>
      <c r="G99" s="146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151"/>
      <c r="T99" s="152"/>
    </row>
    <row r="100" spans="1:31" s="4" customFormat="1" ht="13.8" thickBot="1" x14ac:dyDescent="0.3">
      <c r="A100" s="2"/>
      <c r="B100" s="48"/>
      <c r="C100" s="4" t="s">
        <v>341</v>
      </c>
      <c r="D100" s="4">
        <v>0</v>
      </c>
      <c r="E100" s="5">
        <v>450</v>
      </c>
      <c r="F100" s="5">
        <f>E100*D100</f>
        <v>0</v>
      </c>
      <c r="G100" s="146"/>
      <c r="H100" s="164">
        <f>$E$100*0</f>
        <v>0</v>
      </c>
      <c r="I100" s="164">
        <f t="shared" ref="I100:S100" si="104">$E$100*0</f>
        <v>0</v>
      </c>
      <c r="J100" s="164">
        <f t="shared" si="104"/>
        <v>0</v>
      </c>
      <c r="K100" s="164">
        <f>$E$100*0</f>
        <v>0</v>
      </c>
      <c r="L100" s="164">
        <f t="shared" si="104"/>
        <v>0</v>
      </c>
      <c r="M100" s="164">
        <f t="shared" si="104"/>
        <v>0</v>
      </c>
      <c r="N100" s="164">
        <f t="shared" si="104"/>
        <v>0</v>
      </c>
      <c r="O100" s="164">
        <f t="shared" si="104"/>
        <v>0</v>
      </c>
      <c r="P100" s="164">
        <f t="shared" si="104"/>
        <v>0</v>
      </c>
      <c r="Q100" s="164">
        <f t="shared" si="104"/>
        <v>0</v>
      </c>
      <c r="R100" s="164">
        <f t="shared" si="104"/>
        <v>0</v>
      </c>
      <c r="S100" s="164">
        <f t="shared" si="104"/>
        <v>0</v>
      </c>
      <c r="T100" s="165">
        <f>SUM(H100:S100)</f>
        <v>0</v>
      </c>
    </row>
    <row r="101" spans="1:31" s="10" customFormat="1" ht="16.2" thickBot="1" x14ac:dyDescent="0.35">
      <c r="A101" s="93"/>
      <c r="B101" s="92"/>
      <c r="C101" s="264" t="s">
        <v>342</v>
      </c>
      <c r="D101" s="265"/>
      <c r="E101" s="265"/>
      <c r="F101" s="266"/>
      <c r="G101" s="94">
        <f>SUM(F100)</f>
        <v>0</v>
      </c>
      <c r="H101" s="94">
        <f>SUM(H100)</f>
        <v>0</v>
      </c>
      <c r="I101" s="94">
        <f t="shared" ref="I101:S101" si="105">SUM(I100)</f>
        <v>0</v>
      </c>
      <c r="J101" s="94">
        <f t="shared" si="105"/>
        <v>0</v>
      </c>
      <c r="K101" s="94">
        <f t="shared" si="105"/>
        <v>0</v>
      </c>
      <c r="L101" s="94">
        <f t="shared" si="105"/>
        <v>0</v>
      </c>
      <c r="M101" s="94">
        <f t="shared" si="105"/>
        <v>0</v>
      </c>
      <c r="N101" s="94">
        <f t="shared" si="105"/>
        <v>0</v>
      </c>
      <c r="O101" s="94">
        <f t="shared" si="105"/>
        <v>0</v>
      </c>
      <c r="P101" s="94">
        <f t="shared" si="105"/>
        <v>0</v>
      </c>
      <c r="Q101" s="94">
        <f t="shared" si="105"/>
        <v>0</v>
      </c>
      <c r="R101" s="94">
        <f t="shared" si="105"/>
        <v>0</v>
      </c>
      <c r="S101" s="94">
        <f t="shared" si="105"/>
        <v>0</v>
      </c>
      <c r="T101" s="94">
        <f>SUM(T100)</f>
        <v>0</v>
      </c>
    </row>
    <row r="102" spans="1:31" ht="13.8" thickBot="1" x14ac:dyDescent="0.3">
      <c r="B102" s="48"/>
      <c r="G102" s="146"/>
      <c r="H102" s="175"/>
      <c r="I102" s="175"/>
      <c r="J102" s="175"/>
      <c r="K102" s="175"/>
      <c r="L102" s="175"/>
      <c r="M102" s="164"/>
      <c r="N102" s="175"/>
      <c r="O102" s="175"/>
      <c r="P102" s="175"/>
      <c r="Q102" s="175"/>
      <c r="R102" s="175"/>
      <c r="S102" s="176"/>
      <c r="T102" s="177"/>
      <c r="U102" s="5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s="10" customFormat="1" ht="16.2" thickBot="1" x14ac:dyDescent="0.35">
      <c r="A103" s="93"/>
      <c r="B103" s="92"/>
      <c r="C103" s="178" t="s">
        <v>36</v>
      </c>
      <c r="D103" s="179"/>
      <c r="E103" s="179"/>
      <c r="F103" s="180"/>
      <c r="G103" s="94">
        <f>SUM(G3:G101)</f>
        <v>138578</v>
      </c>
      <c r="H103" s="94">
        <f t="shared" ref="H103:T103" si="106">H97+H93+H87+H83+H79+H56+H37+H30+H101</f>
        <v>16750</v>
      </c>
      <c r="I103" s="94">
        <f t="shared" si="106"/>
        <v>20927</v>
      </c>
      <c r="J103" s="94">
        <f t="shared" si="106"/>
        <v>19973</v>
      </c>
      <c r="K103" s="94">
        <f t="shared" si="106"/>
        <v>10148</v>
      </c>
      <c r="L103" s="94">
        <f t="shared" si="106"/>
        <v>10884</v>
      </c>
      <c r="M103" s="94">
        <f t="shared" si="106"/>
        <v>8731</v>
      </c>
      <c r="N103" s="94">
        <f t="shared" si="106"/>
        <v>11742</v>
      </c>
      <c r="O103" s="94">
        <f t="shared" si="106"/>
        <v>8322</v>
      </c>
      <c r="P103" s="94">
        <f t="shared" si="106"/>
        <v>8037</v>
      </c>
      <c r="Q103" s="94">
        <f t="shared" si="106"/>
        <v>7782</v>
      </c>
      <c r="R103" s="94">
        <f t="shared" si="106"/>
        <v>8412</v>
      </c>
      <c r="S103" s="94">
        <f t="shared" si="106"/>
        <v>6870</v>
      </c>
      <c r="T103" s="94">
        <f t="shared" si="106"/>
        <v>138578</v>
      </c>
    </row>
    <row r="104" spans="1:31" x14ac:dyDescent="0.25">
      <c r="S104" s="5"/>
      <c r="U104" s="5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x14ac:dyDescent="0.25"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x14ac:dyDescent="0.25"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x14ac:dyDescent="0.25"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x14ac:dyDescent="0.25"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x14ac:dyDescent="0.25"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x14ac:dyDescent="0.25"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</sheetData>
  <mergeCells count="12">
    <mergeCell ref="C101:F101"/>
    <mergeCell ref="C97:F97"/>
    <mergeCell ref="B1:G1"/>
    <mergeCell ref="C79:F79"/>
    <mergeCell ref="C30:F30"/>
    <mergeCell ref="C56:F56"/>
    <mergeCell ref="C37:F37"/>
    <mergeCell ref="C83:F83"/>
    <mergeCell ref="C93:F93"/>
    <mergeCell ref="C4:D4"/>
    <mergeCell ref="C32:D32"/>
    <mergeCell ref="C87:F87"/>
  </mergeCells>
  <phoneticPr fontId="0" type="noConversion"/>
  <printOptions horizontalCentered="1"/>
  <pageMargins left="0.74803149606299213" right="0.74803149606299213" top="1.2204724409448819" bottom="1.2204724409448819" header="0.51181102362204722" footer="0"/>
  <pageSetup scale="60" fitToHeight="2" orientation="portrait" horizontalDpi="300" verticalDpi="300" r:id="rId1"/>
  <headerFooter alignWithMargins="0"/>
  <ignoredErrors>
    <ignoredError sqref="T15 I6 S6 Q6 O6 M6 K6 N7:Q7 I8:P8 N10 I11 Q11 I12 I13:M13 I14:J14 I16 K18:M18 L19:N19 I20:O20 I24:O24 I25:K25 O27 P28 K36 I41:J41 R41:S41 O41:P41 L41:M41 K41 N42 J42:L42 K43:L43 J44:N44 I45 K46 M47:N47 I48 J49 J52 I53 M54:N54 J61:N61 I66 M66:N66 I67 N68 J71 J72 I74 J75:L75 L77 I9:L9 J10:K10 L14:M14 T13 T9 N40 L40 I40:J40 O42:P42 K45:N45 O45:Q45 R46 K47 K48:M48 O48 L49 O49:P49 N50 O51:Q51 L52:N52 L53 O53 O54 Q54 O55 N60 O61 Q67:Q68 K66:K68 L67 N67:O67 L68 K70 K74:N74 N75 I90 N92 M72 O72:P72 M71 P77 L51 M51:N51 O71:P71 R71 I10 N9:P9 K11:L11 K12:O12 O13:P13 O14:Q14 I21:L21 N21:P21 O22:P22 L22:M22 I22 K22 N22 M43:Q43 M46 O46:P46 M55 K55:L55 N55 I63:J63 K63:O63 K64:P64 P63 N65 Q70 I78:Q78 O90 M90:N90 J90:L90 P90:R90 I91:R91 M33 M35:N35 J35:K35 I35 L35 O35:R35 K26 I26:J26 L26:M26 M36:N36 L36 O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166"/>
  <sheetViews>
    <sheetView zoomScaleNormal="100" workbookViewId="0">
      <pane ySplit="1" topLeftCell="A146" activePane="bottomLeft" state="frozen"/>
      <selection activeCell="E13" activeCellId="1" sqref="E9 E13"/>
      <selection pane="bottomLeft" activeCell="G34" sqref="G34"/>
    </sheetView>
  </sheetViews>
  <sheetFormatPr baseColWidth="10" defaultRowHeight="13.2" x14ac:dyDescent="0.25"/>
  <cols>
    <col min="1" max="1" width="9" style="4" bestFit="1" customWidth="1"/>
    <col min="2" max="2" width="10.33203125" style="4" bestFit="1" customWidth="1"/>
    <col min="3" max="3" width="52.109375" style="4" bestFit="1" customWidth="1"/>
    <col min="4" max="4" width="14" style="4" bestFit="1" customWidth="1"/>
    <col min="5" max="5" width="10.33203125" style="4" bestFit="1" customWidth="1"/>
    <col min="6" max="6" width="12" style="4" bestFit="1" customWidth="1"/>
    <col min="7" max="7" width="15.33203125" style="4" bestFit="1" customWidth="1"/>
    <col min="8" max="15" width="13.33203125" style="4" bestFit="1" customWidth="1"/>
    <col min="16" max="16" width="13.44140625" style="4" bestFit="1" customWidth="1"/>
    <col min="17" max="19" width="13.33203125" style="4" bestFit="1" customWidth="1"/>
    <col min="20" max="20" width="15.33203125" style="2" bestFit="1" customWidth="1"/>
    <col min="21" max="21" width="12.44140625" bestFit="1" customWidth="1"/>
  </cols>
  <sheetData>
    <row r="1" spans="1:31" s="15" customFormat="1" ht="18" thickBot="1" x14ac:dyDescent="0.35">
      <c r="B1" s="267" t="s">
        <v>93</v>
      </c>
      <c r="C1" s="267"/>
      <c r="D1" s="267"/>
      <c r="E1" s="267"/>
      <c r="F1" s="267"/>
      <c r="G1" s="267"/>
      <c r="T1" s="143"/>
    </row>
    <row r="2" spans="1:31" s="10" customFormat="1" ht="16.2" thickBot="1" x14ac:dyDescent="0.35">
      <c r="A2" s="78" t="s">
        <v>190</v>
      </c>
      <c r="B2" s="78" t="s">
        <v>189</v>
      </c>
      <c r="C2" s="78" t="s">
        <v>30</v>
      </c>
      <c r="D2" s="79" t="s">
        <v>31</v>
      </c>
      <c r="E2" s="79" t="s">
        <v>1</v>
      </c>
      <c r="F2" s="79" t="s">
        <v>32</v>
      </c>
      <c r="G2" s="78" t="s">
        <v>0</v>
      </c>
      <c r="H2" s="78" t="s">
        <v>17</v>
      </c>
      <c r="I2" s="78" t="s">
        <v>18</v>
      </c>
      <c r="J2" s="78" t="s">
        <v>19</v>
      </c>
      <c r="K2" s="78" t="s">
        <v>20</v>
      </c>
      <c r="L2" s="78" t="s">
        <v>21</v>
      </c>
      <c r="M2" s="78" t="s">
        <v>22</v>
      </c>
      <c r="N2" s="78" t="s">
        <v>23</v>
      </c>
      <c r="O2" s="78" t="s">
        <v>24</v>
      </c>
      <c r="P2" s="78" t="s">
        <v>25</v>
      </c>
      <c r="Q2" s="78" t="s">
        <v>26</v>
      </c>
      <c r="R2" s="78" t="s">
        <v>27</v>
      </c>
      <c r="S2" s="78" t="s">
        <v>28</v>
      </c>
      <c r="T2" s="78" t="s">
        <v>29</v>
      </c>
    </row>
    <row r="3" spans="1:31" x14ac:dyDescent="0.25">
      <c r="B3" s="48"/>
      <c r="G3" s="146"/>
      <c r="H3" s="181"/>
      <c r="I3" s="181"/>
      <c r="J3" s="181"/>
      <c r="K3" s="181"/>
      <c r="L3" s="181"/>
      <c r="M3" s="181"/>
      <c r="N3" s="147"/>
      <c r="O3" s="147"/>
      <c r="P3" s="147"/>
      <c r="Q3" s="147"/>
      <c r="R3" s="147"/>
      <c r="S3" s="148"/>
      <c r="T3" s="149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4" customFormat="1" x14ac:dyDescent="0.25">
      <c r="A4" s="2">
        <v>311</v>
      </c>
      <c r="B4" s="58">
        <v>31101</v>
      </c>
      <c r="C4" s="2" t="s">
        <v>221</v>
      </c>
      <c r="G4" s="146"/>
      <c r="H4" s="82"/>
      <c r="I4" s="82"/>
      <c r="J4" s="82"/>
      <c r="K4" s="82"/>
      <c r="L4" s="82"/>
      <c r="M4" s="82"/>
      <c r="N4" s="85"/>
      <c r="O4" s="85"/>
      <c r="P4" s="85"/>
      <c r="Q4" s="85"/>
      <c r="R4" s="85"/>
      <c r="S4" s="151"/>
      <c r="T4" s="152"/>
    </row>
    <row r="5" spans="1:31" s="4" customFormat="1" ht="13.8" thickBot="1" x14ac:dyDescent="0.3">
      <c r="B5" s="48"/>
      <c r="C5" s="4" t="s">
        <v>313</v>
      </c>
      <c r="D5" s="4">
        <v>12</v>
      </c>
      <c r="E5" s="5">
        <v>8000</v>
      </c>
      <c r="F5" s="5">
        <f>E5*D5</f>
        <v>96000</v>
      </c>
      <c r="G5" s="146"/>
      <c r="H5" s="182">
        <f>$E$5*1</f>
        <v>8000</v>
      </c>
      <c r="I5" s="182">
        <f t="shared" ref="I5:S5" si="0">$E$5*1</f>
        <v>8000</v>
      </c>
      <c r="J5" s="182">
        <f t="shared" si="0"/>
        <v>8000</v>
      </c>
      <c r="K5" s="182">
        <f t="shared" si="0"/>
        <v>8000</v>
      </c>
      <c r="L5" s="182">
        <f t="shared" si="0"/>
        <v>8000</v>
      </c>
      <c r="M5" s="182">
        <f t="shared" si="0"/>
        <v>8000</v>
      </c>
      <c r="N5" s="182">
        <f t="shared" si="0"/>
        <v>8000</v>
      </c>
      <c r="O5" s="182">
        <f t="shared" si="0"/>
        <v>8000</v>
      </c>
      <c r="P5" s="182">
        <f t="shared" si="0"/>
        <v>8000</v>
      </c>
      <c r="Q5" s="182">
        <f t="shared" si="0"/>
        <v>8000</v>
      </c>
      <c r="R5" s="182">
        <f t="shared" si="0"/>
        <v>8000</v>
      </c>
      <c r="S5" s="182">
        <f t="shared" si="0"/>
        <v>8000</v>
      </c>
      <c r="T5" s="165">
        <f>SUM(H5:S5)</f>
        <v>96000</v>
      </c>
    </row>
    <row r="6" spans="1:31" s="10" customFormat="1" ht="16.2" thickBot="1" x14ac:dyDescent="0.35">
      <c r="A6" s="92"/>
      <c r="B6" s="92"/>
      <c r="C6" s="264" t="s">
        <v>222</v>
      </c>
      <c r="D6" s="265"/>
      <c r="E6" s="265"/>
      <c r="F6" s="266"/>
      <c r="G6" s="94">
        <f>SUM(F5)</f>
        <v>96000</v>
      </c>
      <c r="H6" s="94">
        <f>SUM(H5:H5)</f>
        <v>8000</v>
      </c>
      <c r="I6" s="94">
        <f t="shared" ref="I6:S6" si="1">SUM(I5:I5)</f>
        <v>8000</v>
      </c>
      <c r="J6" s="94">
        <f t="shared" si="1"/>
        <v>8000</v>
      </c>
      <c r="K6" s="94">
        <f t="shared" si="1"/>
        <v>8000</v>
      </c>
      <c r="L6" s="94">
        <f t="shared" si="1"/>
        <v>8000</v>
      </c>
      <c r="M6" s="94">
        <f t="shared" si="1"/>
        <v>8000</v>
      </c>
      <c r="N6" s="94">
        <f t="shared" si="1"/>
        <v>8000</v>
      </c>
      <c r="O6" s="94">
        <f t="shared" si="1"/>
        <v>8000</v>
      </c>
      <c r="P6" s="94">
        <f t="shared" si="1"/>
        <v>8000</v>
      </c>
      <c r="Q6" s="94">
        <f t="shared" si="1"/>
        <v>8000</v>
      </c>
      <c r="R6" s="94">
        <f t="shared" si="1"/>
        <v>8000</v>
      </c>
      <c r="S6" s="94">
        <f t="shared" si="1"/>
        <v>8000</v>
      </c>
      <c r="T6" s="94">
        <f>SUM(T5)</f>
        <v>96000</v>
      </c>
      <c r="U6" s="14"/>
    </row>
    <row r="7" spans="1:31" x14ac:dyDescent="0.25">
      <c r="B7" s="48"/>
      <c r="G7" s="146"/>
      <c r="H7" s="181"/>
      <c r="I7" s="181"/>
      <c r="J7" s="181"/>
      <c r="K7" s="181"/>
      <c r="L7" s="181"/>
      <c r="M7" s="181"/>
      <c r="N7" s="147"/>
      <c r="O7" s="147"/>
      <c r="P7" s="147"/>
      <c r="Q7" s="147"/>
      <c r="R7" s="147"/>
      <c r="S7" s="148"/>
      <c r="T7" s="149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4" customFormat="1" x14ac:dyDescent="0.25">
      <c r="A8" s="2">
        <v>313</v>
      </c>
      <c r="B8" s="58">
        <v>31301</v>
      </c>
      <c r="C8" s="2" t="s">
        <v>289</v>
      </c>
      <c r="G8" s="146"/>
      <c r="H8" s="82"/>
      <c r="I8" s="82"/>
      <c r="J8" s="82"/>
      <c r="K8" s="82"/>
      <c r="L8" s="82"/>
      <c r="M8" s="82"/>
      <c r="N8" s="85"/>
      <c r="O8" s="85"/>
      <c r="P8" s="85"/>
      <c r="Q8" s="85"/>
      <c r="R8" s="85"/>
      <c r="S8" s="151"/>
      <c r="T8" s="152"/>
    </row>
    <row r="9" spans="1:31" s="4" customFormat="1" ht="13.8" thickBot="1" x14ac:dyDescent="0.3">
      <c r="B9" s="48"/>
      <c r="C9" s="4" t="s">
        <v>312</v>
      </c>
      <c r="D9" s="4">
        <v>0</v>
      </c>
      <c r="E9" s="5">
        <v>0</v>
      </c>
      <c r="F9" s="5">
        <f>E9*D9</f>
        <v>0</v>
      </c>
      <c r="G9" s="146"/>
      <c r="H9" s="182">
        <f>$E$9*1</f>
        <v>0</v>
      </c>
      <c r="I9" s="182">
        <f t="shared" ref="I9:S9" si="2">$E$9*1</f>
        <v>0</v>
      </c>
      <c r="J9" s="182">
        <f t="shared" si="2"/>
        <v>0</v>
      </c>
      <c r="K9" s="182">
        <f t="shared" si="2"/>
        <v>0</v>
      </c>
      <c r="L9" s="182">
        <f t="shared" si="2"/>
        <v>0</v>
      </c>
      <c r="M9" s="182">
        <f t="shared" si="2"/>
        <v>0</v>
      </c>
      <c r="N9" s="182">
        <f t="shared" si="2"/>
        <v>0</v>
      </c>
      <c r="O9" s="182">
        <f t="shared" si="2"/>
        <v>0</v>
      </c>
      <c r="P9" s="182">
        <f t="shared" si="2"/>
        <v>0</v>
      </c>
      <c r="Q9" s="182">
        <f t="shared" si="2"/>
        <v>0</v>
      </c>
      <c r="R9" s="182">
        <f t="shared" si="2"/>
        <v>0</v>
      </c>
      <c r="S9" s="182">
        <f t="shared" si="2"/>
        <v>0</v>
      </c>
      <c r="T9" s="165">
        <f>SUM(H9:S9)</f>
        <v>0</v>
      </c>
    </row>
    <row r="10" spans="1:31" s="10" customFormat="1" ht="16.2" thickBot="1" x14ac:dyDescent="0.35">
      <c r="A10" s="92"/>
      <c r="B10" s="92"/>
      <c r="C10" s="264" t="s">
        <v>222</v>
      </c>
      <c r="D10" s="265"/>
      <c r="E10" s="265"/>
      <c r="F10" s="266"/>
      <c r="G10" s="94">
        <f>SUM(F9)</f>
        <v>0</v>
      </c>
      <c r="H10" s="94">
        <f>SUM(H9:H9)</f>
        <v>0</v>
      </c>
      <c r="I10" s="94">
        <f t="shared" ref="I10:S10" si="3">SUM(I9:I9)</f>
        <v>0</v>
      </c>
      <c r="J10" s="94">
        <f t="shared" si="3"/>
        <v>0</v>
      </c>
      <c r="K10" s="94">
        <f t="shared" si="3"/>
        <v>0</v>
      </c>
      <c r="L10" s="94">
        <f t="shared" si="3"/>
        <v>0</v>
      </c>
      <c r="M10" s="94">
        <f t="shared" si="3"/>
        <v>0</v>
      </c>
      <c r="N10" s="94">
        <f t="shared" si="3"/>
        <v>0</v>
      </c>
      <c r="O10" s="94">
        <f t="shared" si="3"/>
        <v>0</v>
      </c>
      <c r="P10" s="94">
        <f t="shared" si="3"/>
        <v>0</v>
      </c>
      <c r="Q10" s="94">
        <f t="shared" si="3"/>
        <v>0</v>
      </c>
      <c r="R10" s="94">
        <f t="shared" si="3"/>
        <v>0</v>
      </c>
      <c r="S10" s="94">
        <f t="shared" si="3"/>
        <v>0</v>
      </c>
      <c r="T10" s="94">
        <f>SUM(T9)</f>
        <v>0</v>
      </c>
      <c r="U10" s="14"/>
    </row>
    <row r="11" spans="1:31" x14ac:dyDescent="0.25">
      <c r="B11" s="48"/>
      <c r="G11" s="146"/>
      <c r="H11" s="183"/>
      <c r="I11" s="183"/>
      <c r="J11" s="183"/>
      <c r="K11" s="183"/>
      <c r="L11" s="183"/>
      <c r="M11" s="183"/>
      <c r="N11" s="81"/>
      <c r="O11" s="81"/>
      <c r="P11" s="81"/>
      <c r="Q11" s="81"/>
      <c r="R11" s="81"/>
      <c r="S11" s="153"/>
      <c r="T11" s="154"/>
      <c r="U11" s="5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2" customFormat="1" x14ac:dyDescent="0.25">
      <c r="A12" s="2">
        <v>314</v>
      </c>
      <c r="B12" s="58">
        <v>31401</v>
      </c>
      <c r="C12" s="2" t="s">
        <v>223</v>
      </c>
      <c r="G12" s="150"/>
      <c r="H12" s="82"/>
      <c r="I12" s="82"/>
      <c r="J12" s="82"/>
      <c r="K12" s="82"/>
      <c r="L12" s="82"/>
      <c r="M12" s="82"/>
      <c r="N12" s="85"/>
      <c r="O12" s="85"/>
      <c r="P12" s="85"/>
      <c r="Q12" s="85"/>
      <c r="R12" s="85"/>
      <c r="S12" s="151"/>
      <c r="T12" s="152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s="2" customFormat="1" ht="13.8" thickBot="1" x14ac:dyDescent="0.3">
      <c r="B13" s="58"/>
      <c r="C13" s="4" t="s">
        <v>314</v>
      </c>
      <c r="D13" s="4">
        <v>12</v>
      </c>
      <c r="E13" s="5">
        <v>7200</v>
      </c>
      <c r="F13" s="5">
        <f>E13*D13</f>
        <v>86400</v>
      </c>
      <c r="G13" s="150"/>
      <c r="H13" s="182">
        <f>$E$13*1</f>
        <v>7200</v>
      </c>
      <c r="I13" s="182">
        <f t="shared" ref="I13:S13" si="4">$E$13*1</f>
        <v>7200</v>
      </c>
      <c r="J13" s="182">
        <f t="shared" si="4"/>
        <v>7200</v>
      </c>
      <c r="K13" s="182">
        <f t="shared" si="4"/>
        <v>7200</v>
      </c>
      <c r="L13" s="182">
        <f t="shared" si="4"/>
        <v>7200</v>
      </c>
      <c r="M13" s="182">
        <f t="shared" si="4"/>
        <v>7200</v>
      </c>
      <c r="N13" s="182">
        <f t="shared" si="4"/>
        <v>7200</v>
      </c>
      <c r="O13" s="182">
        <f t="shared" si="4"/>
        <v>7200</v>
      </c>
      <c r="P13" s="182">
        <f t="shared" si="4"/>
        <v>7200</v>
      </c>
      <c r="Q13" s="182">
        <f t="shared" si="4"/>
        <v>7200</v>
      </c>
      <c r="R13" s="182">
        <f t="shared" si="4"/>
        <v>7200</v>
      </c>
      <c r="S13" s="182">
        <f t="shared" si="4"/>
        <v>7200</v>
      </c>
      <c r="T13" s="165">
        <f>SUM(H13:S13)</f>
        <v>86400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s="10" customFormat="1" ht="16.2" thickBot="1" x14ac:dyDescent="0.35">
      <c r="A14" s="92"/>
      <c r="B14" s="92"/>
      <c r="C14" s="264" t="s">
        <v>224</v>
      </c>
      <c r="D14" s="265"/>
      <c r="E14" s="265"/>
      <c r="F14" s="266"/>
      <c r="G14" s="94">
        <f>SUM(F13:F13)</f>
        <v>86400</v>
      </c>
      <c r="H14" s="94">
        <f t="shared" ref="H14:T14" si="5">SUM(H13:H13)</f>
        <v>7200</v>
      </c>
      <c r="I14" s="94">
        <f t="shared" si="5"/>
        <v>7200</v>
      </c>
      <c r="J14" s="94">
        <f t="shared" si="5"/>
        <v>7200</v>
      </c>
      <c r="K14" s="94">
        <f t="shared" si="5"/>
        <v>7200</v>
      </c>
      <c r="L14" s="94">
        <f t="shared" si="5"/>
        <v>7200</v>
      </c>
      <c r="M14" s="94">
        <f t="shared" si="5"/>
        <v>7200</v>
      </c>
      <c r="N14" s="94">
        <f t="shared" si="5"/>
        <v>7200</v>
      </c>
      <c r="O14" s="94">
        <f t="shared" si="5"/>
        <v>7200</v>
      </c>
      <c r="P14" s="94">
        <f t="shared" si="5"/>
        <v>7200</v>
      </c>
      <c r="Q14" s="94">
        <f t="shared" si="5"/>
        <v>7200</v>
      </c>
      <c r="R14" s="94">
        <f t="shared" si="5"/>
        <v>7200</v>
      </c>
      <c r="S14" s="94">
        <f t="shared" si="5"/>
        <v>7200</v>
      </c>
      <c r="T14" s="94">
        <f t="shared" si="5"/>
        <v>86400</v>
      </c>
      <c r="U14" s="14"/>
    </row>
    <row r="15" spans="1:31" x14ac:dyDescent="0.25">
      <c r="B15" s="48"/>
      <c r="G15" s="146"/>
      <c r="H15" s="183"/>
      <c r="I15" s="183"/>
      <c r="J15" s="183"/>
      <c r="K15" s="183"/>
      <c r="L15" s="183"/>
      <c r="M15" s="183"/>
      <c r="N15" s="81"/>
      <c r="O15" s="81"/>
      <c r="P15" s="81"/>
      <c r="Q15" s="81"/>
      <c r="R15" s="81"/>
      <c r="S15" s="153"/>
      <c r="T15" s="154"/>
      <c r="U15" s="5"/>
      <c r="V15" s="5"/>
      <c r="W15" s="4"/>
      <c r="X15" s="4"/>
      <c r="Y15" s="4"/>
      <c r="Z15" s="4"/>
      <c r="AA15" s="4"/>
      <c r="AB15" s="4"/>
      <c r="AC15" s="4"/>
      <c r="AD15" s="4"/>
      <c r="AE15" s="4"/>
    </row>
    <row r="16" spans="1:31" s="2" customFormat="1" x14ac:dyDescent="0.25">
      <c r="A16" s="2">
        <v>315</v>
      </c>
      <c r="B16" s="58">
        <v>31501</v>
      </c>
      <c r="C16" s="2" t="s">
        <v>182</v>
      </c>
      <c r="G16" s="150"/>
      <c r="H16" s="82"/>
      <c r="I16" s="82"/>
      <c r="J16" s="82"/>
      <c r="K16" s="82"/>
      <c r="L16" s="82"/>
      <c r="M16" s="82"/>
      <c r="N16" s="85"/>
      <c r="O16" s="85"/>
      <c r="P16" s="85"/>
      <c r="Q16" s="85"/>
      <c r="R16" s="85"/>
      <c r="S16" s="151"/>
      <c r="T16" s="152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2" customFormat="1" ht="13.8" thickBot="1" x14ac:dyDescent="0.3">
      <c r="B17" s="58"/>
      <c r="C17" s="4" t="s">
        <v>315</v>
      </c>
      <c r="D17" s="4">
        <v>2</v>
      </c>
      <c r="E17" s="5">
        <v>0</v>
      </c>
      <c r="F17" s="5">
        <f>E17*D17</f>
        <v>0</v>
      </c>
      <c r="G17" s="150"/>
      <c r="H17" s="82">
        <f>$E$17*1</f>
        <v>0</v>
      </c>
      <c r="I17" s="82">
        <f t="shared" ref="I17:J17" si="6">$E$17*0</f>
        <v>0</v>
      </c>
      <c r="J17" s="82">
        <f t="shared" si="6"/>
        <v>0</v>
      </c>
      <c r="K17" s="82">
        <f>$E$17*1</f>
        <v>0</v>
      </c>
      <c r="L17" s="82">
        <f>$E$17*0</f>
        <v>0</v>
      </c>
      <c r="M17" s="82">
        <f t="shared" ref="M17:S17" si="7">$E$17*0</f>
        <v>0</v>
      </c>
      <c r="N17" s="82">
        <f t="shared" si="7"/>
        <v>0</v>
      </c>
      <c r="O17" s="82">
        <f t="shared" si="7"/>
        <v>0</v>
      </c>
      <c r="P17" s="82">
        <f t="shared" si="7"/>
        <v>0</v>
      </c>
      <c r="Q17" s="82">
        <f t="shared" si="7"/>
        <v>0</v>
      </c>
      <c r="R17" s="82">
        <f t="shared" si="7"/>
        <v>0</v>
      </c>
      <c r="S17" s="82">
        <f t="shared" si="7"/>
        <v>0</v>
      </c>
      <c r="T17" s="152">
        <f>SUM(H17:S17)</f>
        <v>0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s="10" customFormat="1" ht="16.2" thickBot="1" x14ac:dyDescent="0.35">
      <c r="A18" s="92"/>
      <c r="B18" s="92"/>
      <c r="C18" s="264" t="s">
        <v>225</v>
      </c>
      <c r="D18" s="265"/>
      <c r="E18" s="265"/>
      <c r="F18" s="266"/>
      <c r="G18" s="94">
        <f>SUM(F17:F17)</f>
        <v>0</v>
      </c>
      <c r="H18" s="94">
        <f t="shared" ref="H18:T18" si="8">SUM(H17:H17)</f>
        <v>0</v>
      </c>
      <c r="I18" s="94">
        <f t="shared" si="8"/>
        <v>0</v>
      </c>
      <c r="J18" s="94">
        <f t="shared" si="8"/>
        <v>0</v>
      </c>
      <c r="K18" s="94">
        <f t="shared" si="8"/>
        <v>0</v>
      </c>
      <c r="L18" s="94">
        <f t="shared" si="8"/>
        <v>0</v>
      </c>
      <c r="M18" s="94">
        <f t="shared" si="8"/>
        <v>0</v>
      </c>
      <c r="N18" s="94">
        <f t="shared" si="8"/>
        <v>0</v>
      </c>
      <c r="O18" s="94">
        <f t="shared" si="8"/>
        <v>0</v>
      </c>
      <c r="P18" s="94">
        <f t="shared" si="8"/>
        <v>0</v>
      </c>
      <c r="Q18" s="94">
        <f t="shared" si="8"/>
        <v>0</v>
      </c>
      <c r="R18" s="94">
        <f t="shared" si="8"/>
        <v>0</v>
      </c>
      <c r="S18" s="94">
        <f t="shared" si="8"/>
        <v>0</v>
      </c>
      <c r="T18" s="94">
        <f t="shared" si="8"/>
        <v>0</v>
      </c>
      <c r="U18" s="14"/>
    </row>
    <row r="19" spans="1:31" x14ac:dyDescent="0.25">
      <c r="B19" s="48"/>
      <c r="G19" s="146"/>
      <c r="H19" s="183"/>
      <c r="I19" s="183"/>
      <c r="J19" s="183"/>
      <c r="K19" s="183"/>
      <c r="L19" s="183"/>
      <c r="M19" s="183"/>
      <c r="N19" s="81"/>
      <c r="O19" s="81"/>
      <c r="P19" s="81"/>
      <c r="Q19" s="81"/>
      <c r="R19" s="81"/>
      <c r="S19" s="153"/>
      <c r="T19" s="154"/>
      <c r="U19" s="5"/>
      <c r="V19" s="5"/>
      <c r="W19" s="4"/>
      <c r="X19" s="4"/>
      <c r="Y19" s="4"/>
      <c r="Z19" s="4"/>
      <c r="AA19" s="4"/>
      <c r="AB19" s="4"/>
      <c r="AC19" s="4"/>
      <c r="AD19" s="4"/>
      <c r="AE19" s="4"/>
    </row>
    <row r="20" spans="1:31" s="4" customFormat="1" x14ac:dyDescent="0.25">
      <c r="A20" s="2">
        <v>322</v>
      </c>
      <c r="B20" s="58">
        <v>32201</v>
      </c>
      <c r="C20" s="2" t="s">
        <v>226</v>
      </c>
      <c r="G20" s="49"/>
      <c r="H20" s="184"/>
      <c r="I20" s="184"/>
      <c r="J20" s="184"/>
      <c r="K20" s="184"/>
      <c r="L20" s="184"/>
      <c r="M20" s="184"/>
      <c r="N20" s="156"/>
      <c r="O20" s="156"/>
      <c r="P20" s="156"/>
      <c r="Q20" s="156"/>
      <c r="R20" s="156"/>
      <c r="S20" s="157"/>
      <c r="T20" s="152"/>
    </row>
    <row r="21" spans="1:31" s="4" customFormat="1" x14ac:dyDescent="0.25">
      <c r="B21" s="48"/>
      <c r="C21" s="4" t="s">
        <v>379</v>
      </c>
      <c r="D21" s="4">
        <v>12</v>
      </c>
      <c r="E21" s="5">
        <v>18000</v>
      </c>
      <c r="F21" s="5">
        <f>E21*D21</f>
        <v>216000</v>
      </c>
      <c r="H21" s="185">
        <f>$E$21*1</f>
        <v>18000</v>
      </c>
      <c r="I21" s="182">
        <f t="shared" ref="I21:S21" si="9">$E$21*1</f>
        <v>18000</v>
      </c>
      <c r="J21" s="182">
        <f t="shared" si="9"/>
        <v>18000</v>
      </c>
      <c r="K21" s="182">
        <f t="shared" si="9"/>
        <v>18000</v>
      </c>
      <c r="L21" s="182">
        <f t="shared" si="9"/>
        <v>18000</v>
      </c>
      <c r="M21" s="182">
        <f t="shared" si="9"/>
        <v>18000</v>
      </c>
      <c r="N21" s="182">
        <f t="shared" si="9"/>
        <v>18000</v>
      </c>
      <c r="O21" s="182">
        <f t="shared" si="9"/>
        <v>18000</v>
      </c>
      <c r="P21" s="182">
        <f t="shared" si="9"/>
        <v>18000</v>
      </c>
      <c r="Q21" s="182">
        <f t="shared" si="9"/>
        <v>18000</v>
      </c>
      <c r="R21" s="182">
        <f t="shared" si="9"/>
        <v>18000</v>
      </c>
      <c r="S21" s="182">
        <f t="shared" si="9"/>
        <v>18000</v>
      </c>
      <c r="T21" s="165">
        <f>SUM(H21:S21)</f>
        <v>216000</v>
      </c>
    </row>
    <row r="22" spans="1:31" s="4" customFormat="1" ht="13.8" thickBot="1" x14ac:dyDescent="0.3">
      <c r="B22" s="48"/>
      <c r="C22" s="4" t="s">
        <v>290</v>
      </c>
      <c r="D22" s="4">
        <v>12</v>
      </c>
      <c r="E22" s="5">
        <v>0</v>
      </c>
      <c r="F22" s="5">
        <f>E22*D22</f>
        <v>0</v>
      </c>
      <c r="H22" s="189">
        <f>$E$22*1</f>
        <v>0</v>
      </c>
      <c r="I22" s="172">
        <f>$E$22*1</f>
        <v>0</v>
      </c>
      <c r="J22" s="172">
        <f t="shared" ref="J22:R22" si="10">$E$22*1</f>
        <v>0</v>
      </c>
      <c r="K22" s="172">
        <f t="shared" si="10"/>
        <v>0</v>
      </c>
      <c r="L22" s="172">
        <f t="shared" si="10"/>
        <v>0</v>
      </c>
      <c r="M22" s="172">
        <f t="shared" si="10"/>
        <v>0</v>
      </c>
      <c r="N22" s="172">
        <f t="shared" si="10"/>
        <v>0</v>
      </c>
      <c r="O22" s="172">
        <f t="shared" si="10"/>
        <v>0</v>
      </c>
      <c r="P22" s="172">
        <f t="shared" si="10"/>
        <v>0</v>
      </c>
      <c r="Q22" s="172">
        <f t="shared" si="10"/>
        <v>0</v>
      </c>
      <c r="R22" s="172">
        <f t="shared" si="10"/>
        <v>0</v>
      </c>
      <c r="S22" s="185">
        <f>$E$22*1</f>
        <v>0</v>
      </c>
      <c r="T22" s="165">
        <f>SUM(H22:S22)</f>
        <v>0</v>
      </c>
    </row>
    <row r="23" spans="1:31" s="10" customFormat="1" ht="16.2" thickBot="1" x14ac:dyDescent="0.35">
      <c r="A23" s="92"/>
      <c r="B23" s="92"/>
      <c r="C23" s="264" t="s">
        <v>227</v>
      </c>
      <c r="D23" s="265"/>
      <c r="E23" s="265"/>
      <c r="F23" s="266"/>
      <c r="G23" s="94">
        <f>SUM(F21:F22)</f>
        <v>216000</v>
      </c>
      <c r="H23" s="94">
        <f>SUM(H21:H22)</f>
        <v>18000</v>
      </c>
      <c r="I23" s="94">
        <f t="shared" ref="I23:S23" si="11">SUM(I21:I22)</f>
        <v>18000</v>
      </c>
      <c r="J23" s="94">
        <f t="shared" si="11"/>
        <v>18000</v>
      </c>
      <c r="K23" s="94">
        <f t="shared" si="11"/>
        <v>18000</v>
      </c>
      <c r="L23" s="94">
        <f t="shared" si="11"/>
        <v>18000</v>
      </c>
      <c r="M23" s="94">
        <f t="shared" si="11"/>
        <v>18000</v>
      </c>
      <c r="N23" s="94">
        <f t="shared" si="11"/>
        <v>18000</v>
      </c>
      <c r="O23" s="94">
        <f t="shared" si="11"/>
        <v>18000</v>
      </c>
      <c r="P23" s="94">
        <f t="shared" si="11"/>
        <v>18000</v>
      </c>
      <c r="Q23" s="94">
        <f t="shared" si="11"/>
        <v>18000</v>
      </c>
      <c r="R23" s="94">
        <f t="shared" si="11"/>
        <v>18000</v>
      </c>
      <c r="S23" s="94">
        <f t="shared" si="11"/>
        <v>18000</v>
      </c>
      <c r="T23" s="94">
        <f>SUM(T21:T22)</f>
        <v>216000</v>
      </c>
      <c r="U23" s="14"/>
    </row>
    <row r="24" spans="1:31" x14ac:dyDescent="0.25">
      <c r="B24" s="48"/>
      <c r="G24" s="146"/>
      <c r="H24" s="186"/>
      <c r="I24" s="186"/>
      <c r="J24" s="186"/>
      <c r="K24" s="186"/>
      <c r="L24" s="186"/>
      <c r="M24" s="186"/>
      <c r="N24" s="159"/>
      <c r="O24" s="159"/>
      <c r="P24" s="159"/>
      <c r="Q24" s="159"/>
      <c r="R24" s="159"/>
      <c r="S24" s="160"/>
      <c r="T24" s="154"/>
      <c r="U24" s="5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s="4" customFormat="1" x14ac:dyDescent="0.25">
      <c r="A25" s="2">
        <v>323</v>
      </c>
      <c r="B25" s="58">
        <v>32301</v>
      </c>
      <c r="C25" s="270" t="s">
        <v>37</v>
      </c>
      <c r="D25" s="270"/>
      <c r="G25" s="146"/>
      <c r="H25" s="82"/>
      <c r="I25" s="82"/>
      <c r="J25" s="82"/>
      <c r="K25" s="82"/>
      <c r="L25" s="82"/>
      <c r="M25" s="82"/>
      <c r="N25" s="85"/>
      <c r="O25" s="85"/>
      <c r="P25" s="85"/>
      <c r="Q25" s="85"/>
      <c r="R25" s="85"/>
      <c r="S25" s="151"/>
      <c r="T25" s="152"/>
    </row>
    <row r="26" spans="1:31" s="4" customFormat="1" ht="13.8" thickBot="1" x14ac:dyDescent="0.3">
      <c r="B26" s="48"/>
      <c r="C26" s="4" t="s">
        <v>380</v>
      </c>
      <c r="D26" s="4">
        <v>12</v>
      </c>
      <c r="E26" s="5">
        <v>4900</v>
      </c>
      <c r="F26" s="5">
        <f>E26*D26</f>
        <v>58800</v>
      </c>
      <c r="G26" s="146"/>
      <c r="H26" s="182">
        <f>$E$26*1</f>
        <v>4900</v>
      </c>
      <c r="I26" s="182">
        <f t="shared" ref="I26:S26" si="12">$E$26*1</f>
        <v>4900</v>
      </c>
      <c r="J26" s="182">
        <f t="shared" si="12"/>
        <v>4900</v>
      </c>
      <c r="K26" s="182">
        <f t="shared" si="12"/>
        <v>4900</v>
      </c>
      <c r="L26" s="182">
        <f t="shared" si="12"/>
        <v>4900</v>
      </c>
      <c r="M26" s="182">
        <f t="shared" si="12"/>
        <v>4900</v>
      </c>
      <c r="N26" s="182">
        <f t="shared" si="12"/>
        <v>4900</v>
      </c>
      <c r="O26" s="182">
        <f t="shared" si="12"/>
        <v>4900</v>
      </c>
      <c r="P26" s="182">
        <f t="shared" si="12"/>
        <v>4900</v>
      </c>
      <c r="Q26" s="182">
        <f t="shared" si="12"/>
        <v>4900</v>
      </c>
      <c r="R26" s="182">
        <f t="shared" si="12"/>
        <v>4900</v>
      </c>
      <c r="S26" s="182">
        <f t="shared" si="12"/>
        <v>4900</v>
      </c>
      <c r="T26" s="165">
        <f>SUM(H26:S26)</f>
        <v>58800</v>
      </c>
    </row>
    <row r="27" spans="1:31" s="10" customFormat="1" ht="16.2" thickBot="1" x14ac:dyDescent="0.35">
      <c r="A27" s="92"/>
      <c r="B27" s="92"/>
      <c r="C27" s="264" t="s">
        <v>38</v>
      </c>
      <c r="D27" s="265"/>
      <c r="E27" s="265"/>
      <c r="F27" s="266"/>
      <c r="G27" s="94">
        <f>SUM(F26)</f>
        <v>58800</v>
      </c>
      <c r="H27" s="94">
        <f>SUM(H26)</f>
        <v>4900</v>
      </c>
      <c r="I27" s="94">
        <f t="shared" ref="I27:S27" si="13">SUM(I26)</f>
        <v>4900</v>
      </c>
      <c r="J27" s="94">
        <f t="shared" si="13"/>
        <v>4900</v>
      </c>
      <c r="K27" s="94">
        <f t="shared" si="13"/>
        <v>4900</v>
      </c>
      <c r="L27" s="94">
        <f t="shared" si="13"/>
        <v>4900</v>
      </c>
      <c r="M27" s="94">
        <f t="shared" si="13"/>
        <v>4900</v>
      </c>
      <c r="N27" s="94">
        <f t="shared" si="13"/>
        <v>4900</v>
      </c>
      <c r="O27" s="94">
        <f t="shared" si="13"/>
        <v>4900</v>
      </c>
      <c r="P27" s="94">
        <f t="shared" si="13"/>
        <v>4900</v>
      </c>
      <c r="Q27" s="94">
        <f t="shared" si="13"/>
        <v>4900</v>
      </c>
      <c r="R27" s="94">
        <f t="shared" si="13"/>
        <v>4900</v>
      </c>
      <c r="S27" s="94">
        <f t="shared" si="13"/>
        <v>4900</v>
      </c>
      <c r="T27" s="94">
        <f>SUM(T26)</f>
        <v>58800</v>
      </c>
      <c r="U27" s="14"/>
    </row>
    <row r="28" spans="1:31" x14ac:dyDescent="0.25">
      <c r="B28" s="48"/>
      <c r="G28" s="146"/>
      <c r="H28" s="183"/>
      <c r="I28" s="183"/>
      <c r="J28" s="183"/>
      <c r="K28" s="183"/>
      <c r="L28" s="183"/>
      <c r="M28" s="183"/>
      <c r="N28" s="81"/>
      <c r="O28" s="81"/>
      <c r="P28" s="81"/>
      <c r="Q28" s="81"/>
      <c r="R28" s="81"/>
      <c r="S28" s="153"/>
      <c r="T28" s="154"/>
      <c r="U28" s="5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4" customFormat="1" x14ac:dyDescent="0.25">
      <c r="A29" s="2">
        <v>331</v>
      </c>
      <c r="B29" s="58">
        <v>33101</v>
      </c>
      <c r="C29" s="269" t="s">
        <v>228</v>
      </c>
      <c r="D29" s="269"/>
      <c r="E29" s="269"/>
      <c r="G29" s="146"/>
      <c r="H29" s="82"/>
      <c r="I29" s="82"/>
      <c r="J29" s="82"/>
      <c r="K29" s="82"/>
      <c r="L29" s="82"/>
      <c r="M29" s="82"/>
      <c r="N29" s="85"/>
      <c r="O29" s="85"/>
      <c r="P29" s="85"/>
      <c r="Q29" s="85"/>
      <c r="R29" s="85"/>
      <c r="S29" s="151"/>
      <c r="T29" s="152"/>
    </row>
    <row r="30" spans="1:31" s="4" customFormat="1" x14ac:dyDescent="0.25">
      <c r="B30" s="48"/>
      <c r="C30" s="4" t="s">
        <v>291</v>
      </c>
      <c r="D30" s="4">
        <v>3</v>
      </c>
      <c r="E30" s="5">
        <v>22450</v>
      </c>
      <c r="F30" s="5">
        <f>E30*D30</f>
        <v>67350</v>
      </c>
      <c r="G30" s="146"/>
      <c r="H30" s="82">
        <f>$E$30*0</f>
        <v>0</v>
      </c>
      <c r="I30" s="82">
        <f>$E$30*0</f>
        <v>0</v>
      </c>
      <c r="J30" s="82">
        <f t="shared" ref="J30:S30" si="14">$E$30*0</f>
        <v>0</v>
      </c>
      <c r="K30" s="82">
        <f t="shared" si="14"/>
        <v>0</v>
      </c>
      <c r="L30" s="82">
        <f t="shared" si="14"/>
        <v>0</v>
      </c>
      <c r="M30" s="82">
        <f>$E$30*1</f>
        <v>22450</v>
      </c>
      <c r="N30" s="82">
        <f t="shared" si="14"/>
        <v>0</v>
      </c>
      <c r="O30" s="82">
        <f t="shared" si="14"/>
        <v>0</v>
      </c>
      <c r="P30" s="82">
        <f>$E$30*1</f>
        <v>22450</v>
      </c>
      <c r="Q30" s="82">
        <f t="shared" si="14"/>
        <v>0</v>
      </c>
      <c r="R30" s="82">
        <f>$E$30*1</f>
        <v>22450</v>
      </c>
      <c r="S30" s="82">
        <f t="shared" si="14"/>
        <v>0</v>
      </c>
      <c r="T30" s="152">
        <f>SUM(H30:S30)</f>
        <v>67350</v>
      </c>
    </row>
    <row r="31" spans="1:31" s="4" customFormat="1" x14ac:dyDescent="0.25">
      <c r="B31" s="48"/>
      <c r="C31" s="4" t="s">
        <v>310</v>
      </c>
      <c r="D31" s="4">
        <v>1</v>
      </c>
      <c r="E31" s="5">
        <v>4000</v>
      </c>
      <c r="F31" s="5">
        <f>E31*D31</f>
        <v>4000</v>
      </c>
      <c r="G31" s="146"/>
      <c r="H31" s="82">
        <f>$E$31*1</f>
        <v>4000</v>
      </c>
      <c r="I31" s="82">
        <f t="shared" ref="I31:S31" si="15">$E$31*0</f>
        <v>0</v>
      </c>
      <c r="J31" s="82">
        <f>$E$31*0</f>
        <v>0</v>
      </c>
      <c r="K31" s="82">
        <f>$E$31*0</f>
        <v>0</v>
      </c>
      <c r="L31" s="82">
        <f t="shared" si="15"/>
        <v>0</v>
      </c>
      <c r="M31" s="82">
        <f t="shared" si="15"/>
        <v>0</v>
      </c>
      <c r="N31" s="82">
        <f>$E$31*0</f>
        <v>0</v>
      </c>
      <c r="O31" s="82">
        <f>$E$31*0</f>
        <v>0</v>
      </c>
      <c r="P31" s="82">
        <f t="shared" si="15"/>
        <v>0</v>
      </c>
      <c r="Q31" s="82">
        <f t="shared" si="15"/>
        <v>0</v>
      </c>
      <c r="R31" s="82">
        <f t="shared" si="15"/>
        <v>0</v>
      </c>
      <c r="S31" s="82">
        <f t="shared" si="15"/>
        <v>0</v>
      </c>
      <c r="T31" s="152">
        <f>SUM(H31:S31)</f>
        <v>4000</v>
      </c>
    </row>
    <row r="32" spans="1:31" s="4" customFormat="1" x14ac:dyDescent="0.25">
      <c r="B32" s="48"/>
      <c r="C32" s="4" t="s">
        <v>335</v>
      </c>
      <c r="D32" s="4">
        <v>0</v>
      </c>
      <c r="E32" s="5">
        <v>0</v>
      </c>
      <c r="F32" s="5">
        <f t="shared" ref="F32:F33" si="16">E32*D32</f>
        <v>0</v>
      </c>
      <c r="G32" s="146"/>
      <c r="H32" s="82">
        <f>$E$32*0</f>
        <v>0</v>
      </c>
      <c r="I32" s="82">
        <f>$E$32*0</f>
        <v>0</v>
      </c>
      <c r="J32" s="82">
        <f t="shared" ref="J32:S32" si="17">$E$32*0</f>
        <v>0</v>
      </c>
      <c r="K32" s="82">
        <f t="shared" si="17"/>
        <v>0</v>
      </c>
      <c r="L32" s="82">
        <f t="shared" si="17"/>
        <v>0</v>
      </c>
      <c r="M32" s="82">
        <f t="shared" si="17"/>
        <v>0</v>
      </c>
      <c r="N32" s="82">
        <f>$E$32*0</f>
        <v>0</v>
      </c>
      <c r="O32" s="82">
        <f t="shared" si="17"/>
        <v>0</v>
      </c>
      <c r="P32" s="82">
        <f t="shared" si="17"/>
        <v>0</v>
      </c>
      <c r="Q32" s="82">
        <f>$E$32*0</f>
        <v>0</v>
      </c>
      <c r="R32" s="82">
        <f t="shared" si="17"/>
        <v>0</v>
      </c>
      <c r="S32" s="82">
        <f t="shared" si="17"/>
        <v>0</v>
      </c>
      <c r="T32" s="152">
        <f>SUM(H32:S32)</f>
        <v>0</v>
      </c>
    </row>
    <row r="33" spans="1:31" s="4" customFormat="1" ht="13.8" thickBot="1" x14ac:dyDescent="0.3">
      <c r="B33" s="48"/>
      <c r="C33" s="4" t="s">
        <v>278</v>
      </c>
      <c r="D33" s="4">
        <v>1</v>
      </c>
      <c r="E33" s="5">
        <v>5051</v>
      </c>
      <c r="F33" s="5">
        <f t="shared" si="16"/>
        <v>5051</v>
      </c>
      <c r="G33" s="146"/>
      <c r="H33" s="82">
        <f>$E$33*1</f>
        <v>5051</v>
      </c>
      <c r="I33" s="82">
        <f t="shared" ref="I33:S33" si="18">$E$33*0</f>
        <v>0</v>
      </c>
      <c r="J33" s="82">
        <f>$E$33*0</f>
        <v>0</v>
      </c>
      <c r="K33" s="82">
        <f t="shared" si="18"/>
        <v>0</v>
      </c>
      <c r="L33" s="82">
        <f t="shared" si="18"/>
        <v>0</v>
      </c>
      <c r="M33" s="82">
        <f t="shared" si="18"/>
        <v>0</v>
      </c>
      <c r="N33" s="82">
        <f t="shared" si="18"/>
        <v>0</v>
      </c>
      <c r="O33" s="82">
        <f t="shared" si="18"/>
        <v>0</v>
      </c>
      <c r="P33" s="82">
        <f t="shared" si="18"/>
        <v>0</v>
      </c>
      <c r="Q33" s="82">
        <f t="shared" si="18"/>
        <v>0</v>
      </c>
      <c r="R33" s="82">
        <f t="shared" si="18"/>
        <v>0</v>
      </c>
      <c r="S33" s="82">
        <f t="shared" si="18"/>
        <v>0</v>
      </c>
      <c r="T33" s="152">
        <f>SUM(H33:S33)</f>
        <v>5051</v>
      </c>
    </row>
    <row r="34" spans="1:31" s="10" customFormat="1" ht="16.2" thickBot="1" x14ac:dyDescent="0.35">
      <c r="A34" s="92"/>
      <c r="B34" s="92"/>
      <c r="C34" s="264" t="s">
        <v>229</v>
      </c>
      <c r="D34" s="265"/>
      <c r="E34" s="265"/>
      <c r="F34" s="266"/>
      <c r="G34" s="94">
        <f>SUM(F30:F33)</f>
        <v>76401</v>
      </c>
      <c r="H34" s="94">
        <f t="shared" ref="H34:T34" si="19">SUM(H30:H33)</f>
        <v>9051</v>
      </c>
      <c r="I34" s="94">
        <f t="shared" si="19"/>
        <v>0</v>
      </c>
      <c r="J34" s="94">
        <f t="shared" si="19"/>
        <v>0</v>
      </c>
      <c r="K34" s="94">
        <f t="shared" si="19"/>
        <v>0</v>
      </c>
      <c r="L34" s="94">
        <f t="shared" si="19"/>
        <v>0</v>
      </c>
      <c r="M34" s="94">
        <f t="shared" si="19"/>
        <v>22450</v>
      </c>
      <c r="N34" s="94">
        <f t="shared" si="19"/>
        <v>0</v>
      </c>
      <c r="O34" s="94">
        <f t="shared" si="19"/>
        <v>0</v>
      </c>
      <c r="P34" s="94">
        <f t="shared" si="19"/>
        <v>22450</v>
      </c>
      <c r="Q34" s="94">
        <f t="shared" si="19"/>
        <v>0</v>
      </c>
      <c r="R34" s="94">
        <f t="shared" si="19"/>
        <v>22450</v>
      </c>
      <c r="S34" s="94">
        <f t="shared" si="19"/>
        <v>0</v>
      </c>
      <c r="T34" s="94">
        <f t="shared" si="19"/>
        <v>76401</v>
      </c>
      <c r="U34" s="14"/>
    </row>
    <row r="35" spans="1:31" x14ac:dyDescent="0.25">
      <c r="B35" s="48"/>
      <c r="G35" s="146"/>
      <c r="H35" s="183"/>
      <c r="I35" s="183"/>
      <c r="J35" s="183"/>
      <c r="K35" s="183"/>
      <c r="L35" s="183"/>
      <c r="M35" s="183"/>
      <c r="N35" s="81"/>
      <c r="O35" s="81"/>
      <c r="P35" s="81"/>
      <c r="Q35" s="81"/>
      <c r="R35" s="81"/>
      <c r="S35" s="153"/>
      <c r="T35" s="154"/>
      <c r="U35" s="5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s="4" customFormat="1" x14ac:dyDescent="0.25">
      <c r="A36" s="2">
        <v>332</v>
      </c>
      <c r="B36" s="58">
        <v>33201</v>
      </c>
      <c r="C36" s="269" t="s">
        <v>230</v>
      </c>
      <c r="D36" s="269"/>
      <c r="E36" s="269"/>
      <c r="F36" s="269"/>
      <c r="G36" s="146"/>
      <c r="H36" s="82"/>
      <c r="I36" s="82"/>
      <c r="J36" s="82"/>
      <c r="K36" s="82"/>
      <c r="L36" s="82"/>
      <c r="M36" s="82"/>
      <c r="N36" s="85"/>
      <c r="O36" s="85"/>
      <c r="P36" s="85"/>
      <c r="Q36" s="85"/>
      <c r="R36" s="85"/>
      <c r="S36" s="151"/>
      <c r="T36" s="152"/>
    </row>
    <row r="37" spans="1:31" s="4" customFormat="1" x14ac:dyDescent="0.25">
      <c r="B37" s="48"/>
      <c r="C37" s="4" t="s">
        <v>276</v>
      </c>
      <c r="D37" s="4">
        <v>6</v>
      </c>
      <c r="E37" s="5">
        <v>3500</v>
      </c>
      <c r="F37" s="5">
        <f>E37*D37</f>
        <v>21000</v>
      </c>
      <c r="G37" s="146"/>
      <c r="H37" s="82">
        <f>$E$37*1</f>
        <v>3500</v>
      </c>
      <c r="I37" s="82">
        <f>$E$37*0</f>
        <v>0</v>
      </c>
      <c r="J37" s="82">
        <f t="shared" ref="J37:R37" si="20">$E$37*1</f>
        <v>3500</v>
      </c>
      <c r="K37" s="82">
        <f>$E$37*0</f>
        <v>0</v>
      </c>
      <c r="L37" s="82">
        <f t="shared" si="20"/>
        <v>3500</v>
      </c>
      <c r="M37" s="82">
        <f>$E$37*0</f>
        <v>0</v>
      </c>
      <c r="N37" s="82">
        <f t="shared" si="20"/>
        <v>3500</v>
      </c>
      <c r="O37" s="82">
        <f>$E$37*0</f>
        <v>0</v>
      </c>
      <c r="P37" s="82">
        <f t="shared" si="20"/>
        <v>3500</v>
      </c>
      <c r="Q37" s="82">
        <f>$E$37*0</f>
        <v>0</v>
      </c>
      <c r="R37" s="82">
        <f t="shared" si="20"/>
        <v>3500</v>
      </c>
      <c r="S37" s="82">
        <f>$E$37*0</f>
        <v>0</v>
      </c>
      <c r="T37" s="152">
        <f>SUM(H37:S37)</f>
        <v>21000</v>
      </c>
    </row>
    <row r="38" spans="1:31" s="4" customFormat="1" ht="13.8" thickBot="1" x14ac:dyDescent="0.3">
      <c r="B38" s="48"/>
      <c r="C38" s="4" t="s">
        <v>277</v>
      </c>
      <c r="D38" s="4">
        <v>6</v>
      </c>
      <c r="E38" s="5">
        <v>3500</v>
      </c>
      <c r="F38" s="5">
        <f>E38*D38</f>
        <v>21000</v>
      </c>
      <c r="G38" s="146"/>
      <c r="H38" s="82">
        <f>$E$38*1</f>
        <v>3500</v>
      </c>
      <c r="I38" s="82">
        <f>$E$38*0</f>
        <v>0</v>
      </c>
      <c r="J38" s="82">
        <f t="shared" ref="J38:R38" si="21">$E$38*1</f>
        <v>3500</v>
      </c>
      <c r="K38" s="82">
        <f>$E$38*0</f>
        <v>0</v>
      </c>
      <c r="L38" s="82">
        <f t="shared" si="21"/>
        <v>3500</v>
      </c>
      <c r="M38" s="82">
        <f>$E$38*0</f>
        <v>0</v>
      </c>
      <c r="N38" s="82">
        <f t="shared" si="21"/>
        <v>3500</v>
      </c>
      <c r="O38" s="82">
        <f>$E$38*0</f>
        <v>0</v>
      </c>
      <c r="P38" s="82">
        <f t="shared" si="21"/>
        <v>3500</v>
      </c>
      <c r="Q38" s="82">
        <f>$E$38*0</f>
        <v>0</v>
      </c>
      <c r="R38" s="82">
        <f t="shared" si="21"/>
        <v>3500</v>
      </c>
      <c r="S38" s="82">
        <f>$E$38*0</f>
        <v>0</v>
      </c>
      <c r="T38" s="165">
        <f>SUM(H38:S38)</f>
        <v>21000</v>
      </c>
    </row>
    <row r="39" spans="1:31" s="10" customFormat="1" ht="16.2" thickBot="1" x14ac:dyDescent="0.35">
      <c r="A39" s="92"/>
      <c r="B39" s="92"/>
      <c r="C39" s="264" t="s">
        <v>231</v>
      </c>
      <c r="D39" s="265"/>
      <c r="E39" s="265"/>
      <c r="F39" s="266"/>
      <c r="G39" s="94">
        <f>SUM(F37:F38)</f>
        <v>42000</v>
      </c>
      <c r="H39" s="94">
        <f t="shared" ref="H39:T39" si="22">SUM(H37:H38)</f>
        <v>7000</v>
      </c>
      <c r="I39" s="94">
        <f t="shared" si="22"/>
        <v>0</v>
      </c>
      <c r="J39" s="94">
        <f t="shared" si="22"/>
        <v>7000</v>
      </c>
      <c r="K39" s="94">
        <f t="shared" si="22"/>
        <v>0</v>
      </c>
      <c r="L39" s="94">
        <f t="shared" si="22"/>
        <v>7000</v>
      </c>
      <c r="M39" s="94">
        <f t="shared" si="22"/>
        <v>0</v>
      </c>
      <c r="N39" s="94">
        <f t="shared" si="22"/>
        <v>7000</v>
      </c>
      <c r="O39" s="94">
        <f t="shared" si="22"/>
        <v>0</v>
      </c>
      <c r="P39" s="94">
        <f t="shared" si="22"/>
        <v>7000</v>
      </c>
      <c r="Q39" s="94">
        <f t="shared" si="22"/>
        <v>0</v>
      </c>
      <c r="R39" s="94">
        <f t="shared" si="22"/>
        <v>7000</v>
      </c>
      <c r="S39" s="94">
        <f t="shared" si="22"/>
        <v>0</v>
      </c>
      <c r="T39" s="94">
        <f t="shared" si="22"/>
        <v>42000</v>
      </c>
      <c r="U39" s="14"/>
    </row>
    <row r="40" spans="1:31" x14ac:dyDescent="0.25">
      <c r="B40" s="48"/>
      <c r="G40" s="146"/>
      <c r="H40" s="183"/>
      <c r="I40" s="183"/>
      <c r="J40" s="183"/>
      <c r="K40" s="183"/>
      <c r="L40" s="183"/>
      <c r="M40" s="183"/>
      <c r="N40" s="81"/>
      <c r="O40" s="81"/>
      <c r="P40" s="81"/>
      <c r="Q40" s="81"/>
      <c r="R40" s="81"/>
      <c r="S40" s="153"/>
      <c r="T40" s="154"/>
      <c r="U40" s="5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s="4" customFormat="1" x14ac:dyDescent="0.25">
      <c r="A41" s="2">
        <v>336</v>
      </c>
      <c r="B41" s="58">
        <v>33603</v>
      </c>
      <c r="C41" s="2" t="s">
        <v>71</v>
      </c>
      <c r="G41" s="146"/>
      <c r="H41" s="82"/>
      <c r="I41" s="82"/>
      <c r="J41" s="82"/>
      <c r="K41" s="82"/>
      <c r="L41" s="82"/>
      <c r="M41" s="82"/>
      <c r="N41" s="85"/>
      <c r="O41" s="85"/>
      <c r="P41" s="85"/>
      <c r="Q41" s="85"/>
      <c r="R41" s="85"/>
      <c r="S41" s="151"/>
      <c r="T41" s="152"/>
    </row>
    <row r="42" spans="1:31" s="4" customFormat="1" x14ac:dyDescent="0.25">
      <c r="B42" s="58"/>
      <c r="C42" s="4" t="s">
        <v>358</v>
      </c>
      <c r="D42" s="4">
        <v>5</v>
      </c>
      <c r="E42" s="5">
        <v>600</v>
      </c>
      <c r="F42" s="5">
        <f t="shared" ref="F42:F47" si="23">E42*D42</f>
        <v>3000</v>
      </c>
      <c r="G42" s="146"/>
      <c r="H42" s="182">
        <f>$E$42*3</f>
        <v>1800</v>
      </c>
      <c r="I42" s="182">
        <f>$E$42*2</f>
        <v>1200</v>
      </c>
      <c r="J42" s="182">
        <f>$E$42*0</f>
        <v>0</v>
      </c>
      <c r="K42" s="182">
        <f t="shared" ref="K42:S42" si="24">$E$42*0</f>
        <v>0</v>
      </c>
      <c r="L42" s="182">
        <f t="shared" si="24"/>
        <v>0</v>
      </c>
      <c r="M42" s="182">
        <f t="shared" si="24"/>
        <v>0</v>
      </c>
      <c r="N42" s="182">
        <f t="shared" si="24"/>
        <v>0</v>
      </c>
      <c r="O42" s="182">
        <f t="shared" si="24"/>
        <v>0</v>
      </c>
      <c r="P42" s="182">
        <f t="shared" si="24"/>
        <v>0</v>
      </c>
      <c r="Q42" s="182">
        <f t="shared" si="24"/>
        <v>0</v>
      </c>
      <c r="R42" s="182">
        <f t="shared" si="24"/>
        <v>0</v>
      </c>
      <c r="S42" s="182">
        <f t="shared" si="24"/>
        <v>0</v>
      </c>
      <c r="T42" s="165">
        <f t="shared" ref="T42" si="25">SUM(H42:S42)</f>
        <v>3000</v>
      </c>
    </row>
    <row r="43" spans="1:31" s="4" customFormat="1" x14ac:dyDescent="0.25">
      <c r="B43" s="58"/>
      <c r="C43" s="4" t="s">
        <v>359</v>
      </c>
      <c r="D43" s="4">
        <v>1</v>
      </c>
      <c r="E43" s="5">
        <v>0</v>
      </c>
      <c r="F43" s="5">
        <f t="shared" si="23"/>
        <v>0</v>
      </c>
      <c r="G43" s="146"/>
      <c r="H43" s="182">
        <f>$E$43*0</f>
        <v>0</v>
      </c>
      <c r="I43" s="182">
        <f>$E$43*0</f>
        <v>0</v>
      </c>
      <c r="J43" s="182">
        <f t="shared" ref="J43:S43" si="26">$E$43*0</f>
        <v>0</v>
      </c>
      <c r="K43" s="182">
        <f>$E$43*1</f>
        <v>0</v>
      </c>
      <c r="L43" s="182">
        <f t="shared" si="26"/>
        <v>0</v>
      </c>
      <c r="M43" s="182">
        <f t="shared" si="26"/>
        <v>0</v>
      </c>
      <c r="N43" s="182">
        <f t="shared" si="26"/>
        <v>0</v>
      </c>
      <c r="O43" s="182">
        <f t="shared" si="26"/>
        <v>0</v>
      </c>
      <c r="P43" s="182">
        <f t="shared" si="26"/>
        <v>0</v>
      </c>
      <c r="Q43" s="182">
        <f t="shared" si="26"/>
        <v>0</v>
      </c>
      <c r="R43" s="182">
        <f t="shared" si="26"/>
        <v>0</v>
      </c>
      <c r="S43" s="182">
        <f t="shared" si="26"/>
        <v>0</v>
      </c>
      <c r="T43" s="165">
        <f t="shared" ref="T43:T45" si="27">SUM(H43:S43)</f>
        <v>0</v>
      </c>
    </row>
    <row r="44" spans="1:31" s="4" customFormat="1" x14ac:dyDescent="0.25">
      <c r="B44" s="58"/>
      <c r="C44" s="4" t="s">
        <v>369</v>
      </c>
      <c r="D44" s="4">
        <v>0</v>
      </c>
      <c r="E44" s="5">
        <v>1686.24</v>
      </c>
      <c r="F44" s="5">
        <f t="shared" ref="F44" si="28">E44*D44</f>
        <v>0</v>
      </c>
      <c r="G44" s="146"/>
      <c r="H44" s="182">
        <f>$E$44*0</f>
        <v>0</v>
      </c>
      <c r="I44" s="182">
        <f t="shared" ref="I44:S44" si="29">$E$44*0</f>
        <v>0</v>
      </c>
      <c r="J44" s="182">
        <f t="shared" si="29"/>
        <v>0</v>
      </c>
      <c r="K44" s="182">
        <f t="shared" si="29"/>
        <v>0</v>
      </c>
      <c r="L44" s="182">
        <f t="shared" si="29"/>
        <v>0</v>
      </c>
      <c r="M44" s="182">
        <f t="shared" si="29"/>
        <v>0</v>
      </c>
      <c r="N44" s="182">
        <f>$E$44*0</f>
        <v>0</v>
      </c>
      <c r="O44" s="182">
        <f t="shared" si="29"/>
        <v>0</v>
      </c>
      <c r="P44" s="182">
        <f t="shared" si="29"/>
        <v>0</v>
      </c>
      <c r="Q44" s="182">
        <f t="shared" si="29"/>
        <v>0</v>
      </c>
      <c r="R44" s="182">
        <f t="shared" si="29"/>
        <v>0</v>
      </c>
      <c r="S44" s="182">
        <f t="shared" si="29"/>
        <v>0</v>
      </c>
      <c r="T44" s="165">
        <f t="shared" ref="T44" si="30">SUM(H44:S44)</f>
        <v>0</v>
      </c>
    </row>
    <row r="45" spans="1:31" s="4" customFormat="1" x14ac:dyDescent="0.25">
      <c r="B45" s="58"/>
      <c r="C45" s="4" t="s">
        <v>283</v>
      </c>
      <c r="D45" s="4">
        <v>0</v>
      </c>
      <c r="E45" s="5">
        <v>0</v>
      </c>
      <c r="F45" s="5">
        <f t="shared" si="23"/>
        <v>0</v>
      </c>
      <c r="G45" s="146"/>
      <c r="H45" s="182">
        <f>$E$45*0</f>
        <v>0</v>
      </c>
      <c r="I45" s="182">
        <f t="shared" ref="I45:S45" si="31">$E$45*0</f>
        <v>0</v>
      </c>
      <c r="J45" s="182">
        <f t="shared" si="31"/>
        <v>0</v>
      </c>
      <c r="K45" s="182">
        <f t="shared" si="31"/>
        <v>0</v>
      </c>
      <c r="L45" s="182">
        <f>$E$45*0</f>
        <v>0</v>
      </c>
      <c r="M45" s="182">
        <f>$E$45*100</f>
        <v>0</v>
      </c>
      <c r="N45" s="182">
        <f t="shared" si="31"/>
        <v>0</v>
      </c>
      <c r="O45" s="182">
        <f t="shared" si="31"/>
        <v>0</v>
      </c>
      <c r="P45" s="182">
        <f t="shared" si="31"/>
        <v>0</v>
      </c>
      <c r="Q45" s="182">
        <f t="shared" si="31"/>
        <v>0</v>
      </c>
      <c r="R45" s="182">
        <f t="shared" si="31"/>
        <v>0</v>
      </c>
      <c r="S45" s="182">
        <f t="shared" si="31"/>
        <v>0</v>
      </c>
      <c r="T45" s="165">
        <f t="shared" si="27"/>
        <v>0</v>
      </c>
    </row>
    <row r="46" spans="1:31" s="4" customFormat="1" x14ac:dyDescent="0.25">
      <c r="B46" s="58"/>
      <c r="C46" s="4" t="s">
        <v>270</v>
      </c>
      <c r="D46" s="4">
        <v>3</v>
      </c>
      <c r="E46" s="5">
        <v>300</v>
      </c>
      <c r="F46" s="5">
        <f t="shared" si="23"/>
        <v>900</v>
      </c>
      <c r="H46" s="187">
        <f>$E$46*1</f>
        <v>300</v>
      </c>
      <c r="I46" s="85">
        <f t="shared" ref="I46:S46" si="32">$E$46*0</f>
        <v>0</v>
      </c>
      <c r="J46" s="85">
        <f t="shared" si="32"/>
        <v>0</v>
      </c>
      <c r="K46" s="85">
        <f>$E$46*1</f>
        <v>300</v>
      </c>
      <c r="L46" s="85">
        <f t="shared" si="32"/>
        <v>0</v>
      </c>
      <c r="M46" s="85">
        <f>$E$46*0</f>
        <v>0</v>
      </c>
      <c r="N46" s="85">
        <f>$E$46*1</f>
        <v>300</v>
      </c>
      <c r="O46" s="85">
        <f>$E$46*0</f>
        <v>0</v>
      </c>
      <c r="P46" s="85">
        <f t="shared" si="32"/>
        <v>0</v>
      </c>
      <c r="Q46" s="85">
        <f t="shared" si="32"/>
        <v>0</v>
      </c>
      <c r="R46" s="85">
        <f t="shared" si="32"/>
        <v>0</v>
      </c>
      <c r="S46" s="83">
        <f t="shared" si="32"/>
        <v>0</v>
      </c>
      <c r="T46" s="188">
        <f>SUM(H46:S46)</f>
        <v>900</v>
      </c>
    </row>
    <row r="47" spans="1:31" s="4" customFormat="1" ht="13.8" thickBot="1" x14ac:dyDescent="0.3">
      <c r="B47" s="48"/>
      <c r="C47" s="4" t="s">
        <v>269</v>
      </c>
      <c r="D47" s="4">
        <v>0</v>
      </c>
      <c r="E47" s="5">
        <v>0</v>
      </c>
      <c r="F47" s="5">
        <f t="shared" si="23"/>
        <v>0</v>
      </c>
      <c r="G47" s="146"/>
      <c r="H47" s="189">
        <f>$E$47*0</f>
        <v>0</v>
      </c>
      <c r="I47" s="190">
        <f t="shared" ref="I47:S47" si="33">$E$47*0</f>
        <v>0</v>
      </c>
      <c r="J47" s="172">
        <f t="shared" si="33"/>
        <v>0</v>
      </c>
      <c r="K47" s="172">
        <f t="shared" si="33"/>
        <v>0</v>
      </c>
      <c r="L47" s="172">
        <f>$E$47*250</f>
        <v>0</v>
      </c>
      <c r="M47" s="172">
        <f t="shared" si="33"/>
        <v>0</v>
      </c>
      <c r="N47" s="172">
        <f t="shared" si="33"/>
        <v>0</v>
      </c>
      <c r="O47" s="172">
        <f t="shared" si="33"/>
        <v>0</v>
      </c>
      <c r="P47" s="172">
        <f t="shared" si="33"/>
        <v>0</v>
      </c>
      <c r="Q47" s="172">
        <f t="shared" si="33"/>
        <v>0</v>
      </c>
      <c r="R47" s="172">
        <f t="shared" si="33"/>
        <v>0</v>
      </c>
      <c r="S47" s="173">
        <f t="shared" si="33"/>
        <v>0</v>
      </c>
      <c r="T47" s="191">
        <f>SUM(H47:S47)</f>
        <v>0</v>
      </c>
    </row>
    <row r="48" spans="1:31" s="10" customFormat="1" ht="16.2" thickBot="1" x14ac:dyDescent="0.35">
      <c r="A48" s="92"/>
      <c r="B48" s="92"/>
      <c r="C48" s="264" t="s">
        <v>84</v>
      </c>
      <c r="D48" s="265"/>
      <c r="E48" s="265"/>
      <c r="F48" s="266"/>
      <c r="G48" s="94">
        <f>SUM(F42:F47)</f>
        <v>3900</v>
      </c>
      <c r="H48" s="94">
        <f t="shared" ref="H48:T48" si="34">SUM(H42:H47)</f>
        <v>2100</v>
      </c>
      <c r="I48" s="94">
        <f t="shared" si="34"/>
        <v>1200</v>
      </c>
      <c r="J48" s="94">
        <f t="shared" si="34"/>
        <v>0</v>
      </c>
      <c r="K48" s="94">
        <f t="shared" si="34"/>
        <v>300</v>
      </c>
      <c r="L48" s="94">
        <f t="shared" si="34"/>
        <v>0</v>
      </c>
      <c r="M48" s="94">
        <f t="shared" si="34"/>
        <v>0</v>
      </c>
      <c r="N48" s="94">
        <f t="shared" si="34"/>
        <v>300</v>
      </c>
      <c r="O48" s="94">
        <f t="shared" si="34"/>
        <v>0</v>
      </c>
      <c r="P48" s="94">
        <f t="shared" si="34"/>
        <v>0</v>
      </c>
      <c r="Q48" s="94">
        <f t="shared" si="34"/>
        <v>0</v>
      </c>
      <c r="R48" s="94">
        <f t="shared" si="34"/>
        <v>0</v>
      </c>
      <c r="S48" s="94">
        <f t="shared" si="34"/>
        <v>0</v>
      </c>
      <c r="T48" s="94">
        <f t="shared" si="34"/>
        <v>3900</v>
      </c>
      <c r="U48" s="14"/>
    </row>
    <row r="49" spans="1:31" x14ac:dyDescent="0.25">
      <c r="B49" s="48"/>
      <c r="G49" s="146"/>
      <c r="H49" s="183"/>
      <c r="I49" s="183"/>
      <c r="J49" s="183"/>
      <c r="K49" s="183"/>
      <c r="L49" s="183"/>
      <c r="M49" s="183"/>
      <c r="N49" s="81"/>
      <c r="O49" s="81"/>
      <c r="P49" s="81"/>
      <c r="Q49" s="81"/>
      <c r="R49" s="81"/>
      <c r="S49" s="153"/>
      <c r="T49" s="154"/>
      <c r="U49" s="5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s="4" customFormat="1" x14ac:dyDescent="0.25">
      <c r="A50" s="2">
        <v>336</v>
      </c>
      <c r="B50" s="58">
        <v>33605</v>
      </c>
      <c r="C50" s="2" t="s">
        <v>233</v>
      </c>
      <c r="G50" s="146"/>
      <c r="H50" s="82"/>
      <c r="I50" s="82"/>
      <c r="J50" s="82"/>
      <c r="K50" s="82"/>
      <c r="L50" s="82"/>
      <c r="M50" s="82"/>
      <c r="N50" s="85"/>
      <c r="O50" s="85"/>
      <c r="P50" s="85"/>
      <c r="Q50" s="85"/>
      <c r="R50" s="85"/>
      <c r="S50" s="151"/>
      <c r="T50" s="152"/>
    </row>
    <row r="51" spans="1:31" s="4" customFormat="1" ht="13.8" thickBot="1" x14ac:dyDescent="0.3">
      <c r="B51" s="48"/>
      <c r="C51" s="4" t="s">
        <v>271</v>
      </c>
      <c r="D51" s="4">
        <v>2</v>
      </c>
      <c r="E51" s="5">
        <v>30000</v>
      </c>
      <c r="F51" s="5">
        <f>+E51*D51</f>
        <v>60000</v>
      </c>
      <c r="G51" s="146"/>
      <c r="H51" s="182">
        <f>$E$51*1</f>
        <v>30000</v>
      </c>
      <c r="I51" s="182">
        <f>$E$51*1</f>
        <v>30000</v>
      </c>
      <c r="J51" s="182">
        <f t="shared" ref="J51" si="35">$E$51*0</f>
        <v>0</v>
      </c>
      <c r="K51" s="182">
        <f t="shared" ref="K51:S51" si="36">$E$51*0</f>
        <v>0</v>
      </c>
      <c r="L51" s="182">
        <f t="shared" si="36"/>
        <v>0</v>
      </c>
      <c r="M51" s="182">
        <f t="shared" si="36"/>
        <v>0</v>
      </c>
      <c r="N51" s="182">
        <f t="shared" si="36"/>
        <v>0</v>
      </c>
      <c r="O51" s="182">
        <f t="shared" si="36"/>
        <v>0</v>
      </c>
      <c r="P51" s="182">
        <f t="shared" si="36"/>
        <v>0</v>
      </c>
      <c r="Q51" s="182">
        <f t="shared" si="36"/>
        <v>0</v>
      </c>
      <c r="R51" s="182">
        <f t="shared" si="36"/>
        <v>0</v>
      </c>
      <c r="S51" s="182">
        <f t="shared" si="36"/>
        <v>0</v>
      </c>
      <c r="T51" s="165">
        <f>SUM(H51:S51)</f>
        <v>60000</v>
      </c>
    </row>
    <row r="52" spans="1:31" s="10" customFormat="1" ht="16.2" thickBot="1" x14ac:dyDescent="0.35">
      <c r="A52" s="92"/>
      <c r="B52" s="92"/>
      <c r="C52" s="264" t="s">
        <v>234</v>
      </c>
      <c r="D52" s="265"/>
      <c r="E52" s="265"/>
      <c r="F52" s="266"/>
      <c r="G52" s="94">
        <f>SUM(F51:F51)</f>
        <v>60000</v>
      </c>
      <c r="H52" s="94">
        <f t="shared" ref="H52:T52" si="37">SUM(H51:H51)</f>
        <v>30000</v>
      </c>
      <c r="I52" s="94">
        <f t="shared" si="37"/>
        <v>30000</v>
      </c>
      <c r="J52" s="94">
        <f t="shared" si="37"/>
        <v>0</v>
      </c>
      <c r="K52" s="94">
        <f t="shared" si="37"/>
        <v>0</v>
      </c>
      <c r="L52" s="94">
        <f t="shared" si="37"/>
        <v>0</v>
      </c>
      <c r="M52" s="94">
        <f t="shared" si="37"/>
        <v>0</v>
      </c>
      <c r="N52" s="94">
        <f t="shared" si="37"/>
        <v>0</v>
      </c>
      <c r="O52" s="94">
        <f t="shared" si="37"/>
        <v>0</v>
      </c>
      <c r="P52" s="94">
        <f t="shared" si="37"/>
        <v>0</v>
      </c>
      <c r="Q52" s="94">
        <f t="shared" si="37"/>
        <v>0</v>
      </c>
      <c r="R52" s="94">
        <f t="shared" si="37"/>
        <v>0</v>
      </c>
      <c r="S52" s="94">
        <f t="shared" si="37"/>
        <v>0</v>
      </c>
      <c r="T52" s="94">
        <f t="shared" si="37"/>
        <v>60000</v>
      </c>
      <c r="U52" s="14"/>
    </row>
    <row r="53" spans="1:31" x14ac:dyDescent="0.25">
      <c r="B53" s="48"/>
      <c r="G53" s="146"/>
      <c r="H53" s="183"/>
      <c r="I53" s="183"/>
      <c r="J53" s="183"/>
      <c r="K53" s="183"/>
      <c r="L53" s="183"/>
      <c r="M53" s="183"/>
      <c r="N53" s="81"/>
      <c r="O53" s="81"/>
      <c r="P53" s="81"/>
      <c r="Q53" s="81"/>
      <c r="R53" s="81"/>
      <c r="S53" s="153"/>
      <c r="T53" s="154"/>
      <c r="U53" s="5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s="4" customFormat="1" x14ac:dyDescent="0.25">
      <c r="A54" s="2">
        <v>339</v>
      </c>
      <c r="B54" s="58">
        <v>33901</v>
      </c>
      <c r="C54" s="269" t="s">
        <v>191</v>
      </c>
      <c r="D54" s="269"/>
      <c r="E54" s="269"/>
      <c r="G54" s="146"/>
      <c r="H54" s="82"/>
      <c r="I54" s="82"/>
      <c r="J54" s="82"/>
      <c r="K54" s="82"/>
      <c r="L54" s="82"/>
      <c r="M54" s="82"/>
      <c r="N54" s="85"/>
      <c r="O54" s="85"/>
      <c r="P54" s="85"/>
      <c r="Q54" s="85"/>
      <c r="R54" s="85"/>
      <c r="S54" s="151"/>
      <c r="T54" s="152"/>
    </row>
    <row r="55" spans="1:31" s="4" customFormat="1" x14ac:dyDescent="0.25">
      <c r="A55" s="2"/>
      <c r="B55" s="58"/>
      <c r="C55" s="4" t="s">
        <v>336</v>
      </c>
      <c r="D55" s="4">
        <v>13.5</v>
      </c>
      <c r="E55" s="241">
        <v>24032</v>
      </c>
      <c r="F55" s="5">
        <f t="shared" ref="F55:F58" si="38">E55*D55</f>
        <v>324432</v>
      </c>
      <c r="G55" s="146"/>
      <c r="H55" s="82">
        <f>$E$55*1</f>
        <v>24032</v>
      </c>
      <c r="I55" s="82">
        <f t="shared" ref="I55:R55" si="39">$E$55*1</f>
        <v>24032</v>
      </c>
      <c r="J55" s="82">
        <f t="shared" si="39"/>
        <v>24032</v>
      </c>
      <c r="K55" s="82">
        <f t="shared" si="39"/>
        <v>24032</v>
      </c>
      <c r="L55" s="82">
        <f t="shared" si="39"/>
        <v>24032</v>
      </c>
      <c r="M55" s="82">
        <f t="shared" si="39"/>
        <v>24032</v>
      </c>
      <c r="N55" s="82">
        <f>$E$55*1.5</f>
        <v>36048</v>
      </c>
      <c r="O55" s="82">
        <f t="shared" si="39"/>
        <v>24032</v>
      </c>
      <c r="P55" s="82">
        <f t="shared" si="39"/>
        <v>24032</v>
      </c>
      <c r="Q55" s="82">
        <f t="shared" si="39"/>
        <v>24032</v>
      </c>
      <c r="R55" s="82">
        <f t="shared" si="39"/>
        <v>24032</v>
      </c>
      <c r="S55" s="82">
        <f>$E$55*2</f>
        <v>48064</v>
      </c>
      <c r="T55" s="152">
        <f>SUM(H55:S55)</f>
        <v>324432</v>
      </c>
    </row>
    <row r="56" spans="1:31" s="4" customFormat="1" x14ac:dyDescent="0.25">
      <c r="A56" s="2"/>
      <c r="B56" s="58"/>
      <c r="C56" s="4" t="s">
        <v>181</v>
      </c>
      <c r="D56" s="4">
        <v>13.5</v>
      </c>
      <c r="E56" s="241">
        <v>17509.5</v>
      </c>
      <c r="F56" s="5">
        <f t="shared" si="38"/>
        <v>236378.25</v>
      </c>
      <c r="G56" s="146"/>
      <c r="H56" s="82">
        <f>$E$56*1</f>
        <v>17509.5</v>
      </c>
      <c r="I56" s="82">
        <f t="shared" ref="I56:R56" si="40">$E$56*1</f>
        <v>17509.5</v>
      </c>
      <c r="J56" s="82">
        <f t="shared" si="40"/>
        <v>17509.5</v>
      </c>
      <c r="K56" s="82">
        <f t="shared" si="40"/>
        <v>17509.5</v>
      </c>
      <c r="L56" s="82">
        <f t="shared" si="40"/>
        <v>17509.5</v>
      </c>
      <c r="M56" s="82">
        <f t="shared" si="40"/>
        <v>17509.5</v>
      </c>
      <c r="N56" s="82">
        <f>$E$56*1.5</f>
        <v>26264.25</v>
      </c>
      <c r="O56" s="82">
        <f t="shared" si="40"/>
        <v>17509.5</v>
      </c>
      <c r="P56" s="82">
        <f t="shared" si="40"/>
        <v>17509.5</v>
      </c>
      <c r="Q56" s="82">
        <f t="shared" si="40"/>
        <v>17509.5</v>
      </c>
      <c r="R56" s="82">
        <f t="shared" si="40"/>
        <v>17509.5</v>
      </c>
      <c r="S56" s="82">
        <f>$E$56*2</f>
        <v>35019</v>
      </c>
      <c r="T56" s="152">
        <f>SUM(H56:S56)</f>
        <v>236378.25</v>
      </c>
    </row>
    <row r="57" spans="1:31" s="4" customFormat="1" x14ac:dyDescent="0.25">
      <c r="A57" s="2"/>
      <c r="B57" s="58"/>
      <c r="C57" s="4" t="s">
        <v>458</v>
      </c>
      <c r="D57" s="4">
        <v>13.5</v>
      </c>
      <c r="E57" s="5">
        <v>6200</v>
      </c>
      <c r="F57" s="5">
        <f>E57*D57</f>
        <v>83700</v>
      </c>
      <c r="G57" s="146"/>
      <c r="H57" s="82">
        <f t="shared" ref="H57:M57" si="41">$E$57*1</f>
        <v>6200</v>
      </c>
      <c r="I57" s="82">
        <f t="shared" si="41"/>
        <v>6200</v>
      </c>
      <c r="J57" s="82">
        <f t="shared" si="41"/>
        <v>6200</v>
      </c>
      <c r="K57" s="82">
        <f t="shared" si="41"/>
        <v>6200</v>
      </c>
      <c r="L57" s="82">
        <f t="shared" si="41"/>
        <v>6200</v>
      </c>
      <c r="M57" s="82">
        <f t="shared" si="41"/>
        <v>6200</v>
      </c>
      <c r="N57" s="82">
        <f>$E$57*1.5</f>
        <v>9300</v>
      </c>
      <c r="O57" s="82">
        <f>$E$57*1</f>
        <v>6200</v>
      </c>
      <c r="P57" s="82">
        <f>$E$57*1</f>
        <v>6200</v>
      </c>
      <c r="Q57" s="82">
        <f>$E$57*1</f>
        <v>6200</v>
      </c>
      <c r="R57" s="82">
        <f>$E$57*1</f>
        <v>6200</v>
      </c>
      <c r="S57" s="82">
        <f>$E$57*2</f>
        <v>12400</v>
      </c>
      <c r="T57" s="152">
        <f>SUM(H57:S57)</f>
        <v>83700</v>
      </c>
    </row>
    <row r="58" spans="1:31" s="4" customFormat="1" ht="13.8" thickBot="1" x14ac:dyDescent="0.3">
      <c r="A58" s="2"/>
      <c r="B58" s="58"/>
      <c r="C58" s="4" t="s">
        <v>338</v>
      </c>
      <c r="D58" s="4">
        <v>13.5</v>
      </c>
      <c r="E58" s="241">
        <v>17400</v>
      </c>
      <c r="F58" s="5">
        <f t="shared" si="38"/>
        <v>234900</v>
      </c>
      <c r="G58" s="146"/>
      <c r="H58" s="82">
        <f>$E$58*1</f>
        <v>17400</v>
      </c>
      <c r="I58" s="82">
        <f t="shared" ref="I58:R58" si="42">$E$58*1</f>
        <v>17400</v>
      </c>
      <c r="J58" s="82">
        <f t="shared" si="42"/>
        <v>17400</v>
      </c>
      <c r="K58" s="82">
        <f t="shared" si="42"/>
        <v>17400</v>
      </c>
      <c r="L58" s="82">
        <f t="shared" si="42"/>
        <v>17400</v>
      </c>
      <c r="M58" s="82">
        <f t="shared" si="42"/>
        <v>17400</v>
      </c>
      <c r="N58" s="82">
        <f>$E$58*1.5</f>
        <v>26100</v>
      </c>
      <c r="O58" s="82">
        <f t="shared" si="42"/>
        <v>17400</v>
      </c>
      <c r="P58" s="82">
        <f t="shared" si="42"/>
        <v>17400</v>
      </c>
      <c r="Q58" s="82">
        <f t="shared" si="42"/>
        <v>17400</v>
      </c>
      <c r="R58" s="82">
        <f t="shared" si="42"/>
        <v>17400</v>
      </c>
      <c r="S58" s="82">
        <f>$E$58*2</f>
        <v>34800</v>
      </c>
      <c r="T58" s="152">
        <f t="shared" ref="T58" si="43">SUM(H58:S58)</f>
        <v>234900</v>
      </c>
    </row>
    <row r="59" spans="1:31" s="10" customFormat="1" ht="16.2" thickBot="1" x14ac:dyDescent="0.35">
      <c r="A59" s="92"/>
      <c r="B59" s="264" t="s">
        <v>192</v>
      </c>
      <c r="C59" s="265"/>
      <c r="D59" s="265"/>
      <c r="E59" s="265"/>
      <c r="F59" s="266"/>
      <c r="G59" s="94">
        <f>SUM(F55:F58)</f>
        <v>879410.25</v>
      </c>
      <c r="H59" s="94">
        <f t="shared" ref="H59:T59" si="44">SUM(H53:H58)</f>
        <v>65141.5</v>
      </c>
      <c r="I59" s="94">
        <f t="shared" si="44"/>
        <v>65141.5</v>
      </c>
      <c r="J59" s="94">
        <f t="shared" si="44"/>
        <v>65141.5</v>
      </c>
      <c r="K59" s="94">
        <f t="shared" si="44"/>
        <v>65141.5</v>
      </c>
      <c r="L59" s="94">
        <f t="shared" si="44"/>
        <v>65141.5</v>
      </c>
      <c r="M59" s="94">
        <f t="shared" si="44"/>
        <v>65141.5</v>
      </c>
      <c r="N59" s="94">
        <f t="shared" si="44"/>
        <v>97712.25</v>
      </c>
      <c r="O59" s="94">
        <f t="shared" si="44"/>
        <v>65141.5</v>
      </c>
      <c r="P59" s="94">
        <f t="shared" si="44"/>
        <v>65141.5</v>
      </c>
      <c r="Q59" s="94">
        <f t="shared" si="44"/>
        <v>65141.5</v>
      </c>
      <c r="R59" s="94">
        <f t="shared" si="44"/>
        <v>65141.5</v>
      </c>
      <c r="S59" s="94">
        <f t="shared" si="44"/>
        <v>130283</v>
      </c>
      <c r="T59" s="94">
        <f t="shared" si="44"/>
        <v>879410.25</v>
      </c>
      <c r="U59" s="14"/>
    </row>
    <row r="60" spans="1:31" x14ac:dyDescent="0.25">
      <c r="B60" s="48"/>
      <c r="G60" s="146"/>
      <c r="H60" s="183"/>
      <c r="I60" s="183"/>
      <c r="J60" s="183"/>
      <c r="K60" s="183"/>
      <c r="L60" s="183"/>
      <c r="M60" s="183"/>
      <c r="N60" s="81"/>
      <c r="O60" s="81"/>
      <c r="P60" s="81"/>
      <c r="Q60" s="81"/>
      <c r="R60" s="81"/>
      <c r="S60" s="153"/>
      <c r="T60" s="154"/>
      <c r="U60" s="5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s="4" customFormat="1" x14ac:dyDescent="0.25">
      <c r="A61" s="2">
        <v>341</v>
      </c>
      <c r="B61" s="58">
        <v>34101</v>
      </c>
      <c r="C61" s="2" t="s">
        <v>257</v>
      </c>
      <c r="G61" s="146"/>
      <c r="H61" s="82"/>
      <c r="I61" s="82"/>
      <c r="J61" s="82"/>
      <c r="K61" s="82"/>
      <c r="L61" s="82"/>
      <c r="M61" s="82"/>
      <c r="N61" s="85"/>
      <c r="O61" s="85"/>
      <c r="P61" s="85"/>
      <c r="Q61" s="85"/>
      <c r="R61" s="85"/>
      <c r="S61" s="151"/>
      <c r="T61" s="152"/>
    </row>
    <row r="62" spans="1:31" s="4" customFormat="1" x14ac:dyDescent="0.25">
      <c r="B62" s="48"/>
      <c r="C62" s="4" t="s">
        <v>186</v>
      </c>
      <c r="D62" s="4">
        <v>12</v>
      </c>
      <c r="E62" s="5">
        <v>100</v>
      </c>
      <c r="F62" s="5">
        <f t="shared" ref="F62:F64" si="45">+D62*E62</f>
        <v>1200</v>
      </c>
      <c r="G62" s="146"/>
      <c r="H62" s="82">
        <f>$E$62*1</f>
        <v>100</v>
      </c>
      <c r="I62" s="82">
        <f t="shared" ref="I62:S62" si="46">$E$62*1</f>
        <v>100</v>
      </c>
      <c r="J62" s="82">
        <f t="shared" si="46"/>
        <v>100</v>
      </c>
      <c r="K62" s="82">
        <f t="shared" si="46"/>
        <v>100</v>
      </c>
      <c r="L62" s="82">
        <f t="shared" si="46"/>
        <v>100</v>
      </c>
      <c r="M62" s="82">
        <f t="shared" si="46"/>
        <v>100</v>
      </c>
      <c r="N62" s="82">
        <f t="shared" si="46"/>
        <v>100</v>
      </c>
      <c r="O62" s="82">
        <f t="shared" si="46"/>
        <v>100</v>
      </c>
      <c r="P62" s="82">
        <f t="shared" si="46"/>
        <v>100</v>
      </c>
      <c r="Q62" s="82">
        <f t="shared" si="46"/>
        <v>100</v>
      </c>
      <c r="R62" s="82">
        <f t="shared" si="46"/>
        <v>100</v>
      </c>
      <c r="S62" s="82">
        <f t="shared" si="46"/>
        <v>100</v>
      </c>
      <c r="T62" s="152">
        <f t="shared" ref="T62:T64" si="47">SUM(H62:S62)</f>
        <v>1200</v>
      </c>
    </row>
    <row r="63" spans="1:31" s="4" customFormat="1" x14ac:dyDescent="0.25">
      <c r="B63" s="48"/>
      <c r="C63" s="4" t="s">
        <v>187</v>
      </c>
      <c r="D63" s="4">
        <v>12</v>
      </c>
      <c r="E63" s="5">
        <v>200</v>
      </c>
      <c r="F63" s="5">
        <f t="shared" si="45"/>
        <v>2400</v>
      </c>
      <c r="G63" s="146"/>
      <c r="H63" s="82">
        <f>$E$63*1</f>
        <v>200</v>
      </c>
      <c r="I63" s="82">
        <f t="shared" ref="I63:S63" si="48">$E$63*1</f>
        <v>200</v>
      </c>
      <c r="J63" s="82">
        <f t="shared" si="48"/>
        <v>200</v>
      </c>
      <c r="K63" s="82">
        <f t="shared" si="48"/>
        <v>200</v>
      </c>
      <c r="L63" s="82">
        <f t="shared" si="48"/>
        <v>200</v>
      </c>
      <c r="M63" s="82">
        <f t="shared" si="48"/>
        <v>200</v>
      </c>
      <c r="N63" s="82">
        <f t="shared" si="48"/>
        <v>200</v>
      </c>
      <c r="O63" s="82">
        <f t="shared" si="48"/>
        <v>200</v>
      </c>
      <c r="P63" s="82">
        <f t="shared" si="48"/>
        <v>200</v>
      </c>
      <c r="Q63" s="82">
        <f t="shared" si="48"/>
        <v>200</v>
      </c>
      <c r="R63" s="82">
        <f t="shared" si="48"/>
        <v>200</v>
      </c>
      <c r="S63" s="82">
        <f t="shared" si="48"/>
        <v>200</v>
      </c>
      <c r="T63" s="152">
        <f t="shared" si="47"/>
        <v>2400</v>
      </c>
    </row>
    <row r="64" spans="1:31" s="4" customFormat="1" ht="13.8" thickBot="1" x14ac:dyDescent="0.3">
      <c r="B64" s="48"/>
      <c r="C64" s="4" t="s">
        <v>375</v>
      </c>
      <c r="D64" s="4">
        <v>0</v>
      </c>
      <c r="E64" s="5">
        <v>0</v>
      </c>
      <c r="F64" s="5">
        <f t="shared" si="45"/>
        <v>0</v>
      </c>
      <c r="G64" s="146"/>
      <c r="H64" s="189">
        <f>$E$64*1</f>
        <v>0</v>
      </c>
      <c r="I64" s="172">
        <f>$E$64*0</f>
        <v>0</v>
      </c>
      <c r="J64" s="172">
        <f t="shared" ref="J64:S64" si="49">$E$64*0</f>
        <v>0</v>
      </c>
      <c r="K64" s="172">
        <f t="shared" si="49"/>
        <v>0</v>
      </c>
      <c r="L64" s="172">
        <f t="shared" si="49"/>
        <v>0</v>
      </c>
      <c r="M64" s="172">
        <f t="shared" si="49"/>
        <v>0</v>
      </c>
      <c r="N64" s="172">
        <f t="shared" si="49"/>
        <v>0</v>
      </c>
      <c r="O64" s="172">
        <f t="shared" si="49"/>
        <v>0</v>
      </c>
      <c r="P64" s="172">
        <f t="shared" si="49"/>
        <v>0</v>
      </c>
      <c r="Q64" s="172">
        <f t="shared" si="49"/>
        <v>0</v>
      </c>
      <c r="R64" s="172">
        <f t="shared" si="49"/>
        <v>0</v>
      </c>
      <c r="S64" s="5">
        <f t="shared" si="49"/>
        <v>0</v>
      </c>
      <c r="T64" s="152">
        <f t="shared" si="47"/>
        <v>0</v>
      </c>
    </row>
    <row r="65" spans="1:31" s="10" customFormat="1" ht="16.2" thickBot="1" x14ac:dyDescent="0.35">
      <c r="A65" s="92"/>
      <c r="B65" s="92"/>
      <c r="C65" s="264" t="s">
        <v>258</v>
      </c>
      <c r="D65" s="265"/>
      <c r="E65" s="265"/>
      <c r="F65" s="266"/>
      <c r="G65" s="94">
        <f>SUM(F62:F64)</f>
        <v>3600</v>
      </c>
      <c r="H65" s="94">
        <f>SUM(H62:H64)</f>
        <v>300</v>
      </c>
      <c r="I65" s="94">
        <f t="shared" ref="I65:S65" si="50">SUM(I62:I64)</f>
        <v>300</v>
      </c>
      <c r="J65" s="94">
        <f t="shared" si="50"/>
        <v>300</v>
      </c>
      <c r="K65" s="94">
        <f t="shared" si="50"/>
        <v>300</v>
      </c>
      <c r="L65" s="94">
        <f t="shared" si="50"/>
        <v>300</v>
      </c>
      <c r="M65" s="94">
        <f t="shared" si="50"/>
        <v>300</v>
      </c>
      <c r="N65" s="94">
        <f t="shared" si="50"/>
        <v>300</v>
      </c>
      <c r="O65" s="94">
        <f t="shared" si="50"/>
        <v>300</v>
      </c>
      <c r="P65" s="94">
        <f t="shared" si="50"/>
        <v>300</v>
      </c>
      <c r="Q65" s="94">
        <f t="shared" si="50"/>
        <v>300</v>
      </c>
      <c r="R65" s="94">
        <f t="shared" si="50"/>
        <v>300</v>
      </c>
      <c r="S65" s="94">
        <f t="shared" si="50"/>
        <v>300</v>
      </c>
      <c r="T65" s="94">
        <f>SUM(T62:T64)</f>
        <v>3600</v>
      </c>
      <c r="U65" s="14"/>
    </row>
    <row r="66" spans="1:31" x14ac:dyDescent="0.25">
      <c r="B66" s="48"/>
      <c r="G66" s="146"/>
      <c r="H66" s="183"/>
      <c r="I66" s="183"/>
      <c r="J66" s="183"/>
      <c r="K66" s="183"/>
      <c r="L66" s="183"/>
      <c r="M66" s="183"/>
      <c r="N66" s="81"/>
      <c r="O66" s="81"/>
      <c r="P66" s="81"/>
      <c r="Q66" s="81"/>
      <c r="R66" s="81"/>
      <c r="S66" s="153"/>
      <c r="T66" s="154"/>
      <c r="U66" s="5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s="4" customFormat="1" x14ac:dyDescent="0.25">
      <c r="A67" s="2">
        <v>344</v>
      </c>
      <c r="B67" s="58">
        <v>34401</v>
      </c>
      <c r="C67" s="269" t="s">
        <v>193</v>
      </c>
      <c r="D67" s="269"/>
      <c r="G67" s="146"/>
      <c r="H67" s="82"/>
      <c r="I67" s="82"/>
      <c r="J67" s="82"/>
      <c r="K67" s="82"/>
      <c r="L67" s="82"/>
      <c r="M67" s="82"/>
      <c r="N67" s="85"/>
      <c r="O67" s="85"/>
      <c r="P67" s="85"/>
      <c r="Q67" s="85"/>
      <c r="R67" s="85"/>
      <c r="S67" s="151"/>
      <c r="T67" s="152"/>
    </row>
    <row r="68" spans="1:31" s="4" customFormat="1" x14ac:dyDescent="0.25">
      <c r="B68" s="48"/>
      <c r="C68" s="4" t="s">
        <v>292</v>
      </c>
      <c r="D68" s="4">
        <v>1</v>
      </c>
      <c r="E68" s="5">
        <v>9000</v>
      </c>
      <c r="F68" s="5">
        <f>E68*D68</f>
        <v>9000</v>
      </c>
      <c r="G68" s="146"/>
      <c r="H68" s="182">
        <f>$E$68*1</f>
        <v>9000</v>
      </c>
      <c r="I68" s="182">
        <f t="shared" ref="I68:R68" si="51">$E$68*0</f>
        <v>0</v>
      </c>
      <c r="J68" s="182">
        <f t="shared" si="51"/>
        <v>0</v>
      </c>
      <c r="K68" s="182">
        <f t="shared" si="51"/>
        <v>0</v>
      </c>
      <c r="L68" s="182">
        <f>$E$68*0</f>
        <v>0</v>
      </c>
      <c r="M68" s="182">
        <f t="shared" si="51"/>
        <v>0</v>
      </c>
      <c r="N68" s="182">
        <f t="shared" si="51"/>
        <v>0</v>
      </c>
      <c r="O68" s="182">
        <f t="shared" si="51"/>
        <v>0</v>
      </c>
      <c r="P68" s="182">
        <f>$E$68*0</f>
        <v>0</v>
      </c>
      <c r="Q68" s="182">
        <f t="shared" si="51"/>
        <v>0</v>
      </c>
      <c r="R68" s="182">
        <f t="shared" si="51"/>
        <v>0</v>
      </c>
      <c r="S68" s="182">
        <f>$E$68*0</f>
        <v>0</v>
      </c>
      <c r="T68" s="165">
        <f>SUM(H68:S68)</f>
        <v>9000</v>
      </c>
    </row>
    <row r="69" spans="1:31" s="4" customFormat="1" ht="13.8" thickBot="1" x14ac:dyDescent="0.3">
      <c r="B69" s="48"/>
      <c r="C69" s="4" t="s">
        <v>293</v>
      </c>
      <c r="D69" s="4">
        <v>1</v>
      </c>
      <c r="E69" s="5">
        <v>5000</v>
      </c>
      <c r="F69" s="5">
        <f>E69*D69</f>
        <v>5000</v>
      </c>
      <c r="G69" s="146"/>
      <c r="H69" s="182">
        <f>$E$69*1</f>
        <v>5000</v>
      </c>
      <c r="I69" s="182">
        <f>$E$69*0</f>
        <v>0</v>
      </c>
      <c r="J69" s="182">
        <f t="shared" ref="J69:S69" si="52">$E$69*0</f>
        <v>0</v>
      </c>
      <c r="K69" s="182">
        <f t="shared" si="52"/>
        <v>0</v>
      </c>
      <c r="L69" s="182">
        <f t="shared" si="52"/>
        <v>0</v>
      </c>
      <c r="M69" s="182">
        <f t="shared" si="52"/>
        <v>0</v>
      </c>
      <c r="N69" s="182">
        <f t="shared" si="52"/>
        <v>0</v>
      </c>
      <c r="O69" s="182">
        <f t="shared" si="52"/>
        <v>0</v>
      </c>
      <c r="P69" s="182">
        <f t="shared" si="52"/>
        <v>0</v>
      </c>
      <c r="Q69" s="182">
        <f t="shared" si="52"/>
        <v>0</v>
      </c>
      <c r="R69" s="182">
        <f t="shared" si="52"/>
        <v>0</v>
      </c>
      <c r="S69" s="182">
        <f t="shared" si="52"/>
        <v>0</v>
      </c>
      <c r="T69" s="165">
        <f>SUM(H69:S69)</f>
        <v>5000</v>
      </c>
    </row>
    <row r="70" spans="1:31" s="10" customFormat="1" ht="16.2" thickBot="1" x14ac:dyDescent="0.35">
      <c r="A70" s="92"/>
      <c r="B70" s="92"/>
      <c r="C70" s="264" t="s">
        <v>194</v>
      </c>
      <c r="D70" s="265"/>
      <c r="E70" s="265"/>
      <c r="F70" s="266"/>
      <c r="G70" s="94">
        <f>SUM(F68:F69)</f>
        <v>14000</v>
      </c>
      <c r="H70" s="94">
        <f t="shared" ref="H70:T70" si="53">SUM(H68:H69)</f>
        <v>14000</v>
      </c>
      <c r="I70" s="94">
        <f t="shared" si="53"/>
        <v>0</v>
      </c>
      <c r="J70" s="94">
        <f t="shared" si="53"/>
        <v>0</v>
      </c>
      <c r="K70" s="94">
        <f t="shared" si="53"/>
        <v>0</v>
      </c>
      <c r="L70" s="94">
        <f t="shared" si="53"/>
        <v>0</v>
      </c>
      <c r="M70" s="94">
        <f t="shared" si="53"/>
        <v>0</v>
      </c>
      <c r="N70" s="94">
        <f t="shared" si="53"/>
        <v>0</v>
      </c>
      <c r="O70" s="94">
        <f t="shared" si="53"/>
        <v>0</v>
      </c>
      <c r="P70" s="94">
        <f t="shared" si="53"/>
        <v>0</v>
      </c>
      <c r="Q70" s="94">
        <f t="shared" si="53"/>
        <v>0</v>
      </c>
      <c r="R70" s="94">
        <f t="shared" si="53"/>
        <v>0</v>
      </c>
      <c r="S70" s="94">
        <f t="shared" si="53"/>
        <v>0</v>
      </c>
      <c r="T70" s="94">
        <f t="shared" si="53"/>
        <v>14000</v>
      </c>
      <c r="U70" s="14"/>
    </row>
    <row r="71" spans="1:31" x14ac:dyDescent="0.25">
      <c r="B71" s="48"/>
      <c r="G71" s="146"/>
      <c r="H71" s="183"/>
      <c r="I71" s="183"/>
      <c r="J71" s="183"/>
      <c r="K71" s="183"/>
      <c r="L71" s="183"/>
      <c r="M71" s="183"/>
      <c r="N71" s="81"/>
      <c r="O71" s="81"/>
      <c r="P71" s="81"/>
      <c r="Q71" s="81"/>
      <c r="R71" s="81"/>
      <c r="S71" s="153"/>
      <c r="T71" s="154"/>
      <c r="U71" s="5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s="4" customFormat="1" x14ac:dyDescent="0.25">
      <c r="A72" s="2">
        <v>347</v>
      </c>
      <c r="B72" s="58">
        <v>34701</v>
      </c>
      <c r="C72" s="2" t="s">
        <v>195</v>
      </c>
      <c r="G72" s="146"/>
      <c r="H72" s="82"/>
      <c r="I72" s="82"/>
      <c r="J72" s="82"/>
      <c r="K72" s="82"/>
      <c r="L72" s="82"/>
      <c r="M72" s="82"/>
      <c r="N72" s="85"/>
      <c r="O72" s="85"/>
      <c r="P72" s="85"/>
      <c r="Q72" s="85"/>
      <c r="R72" s="85"/>
      <c r="S72" s="151"/>
      <c r="T72" s="152"/>
    </row>
    <row r="73" spans="1:31" s="4" customFormat="1" ht="13.8" thickBot="1" x14ac:dyDescent="0.3">
      <c r="B73" s="48"/>
      <c r="C73" s="4" t="s">
        <v>39</v>
      </c>
      <c r="D73" s="4">
        <v>6</v>
      </c>
      <c r="E73" s="5">
        <v>400</v>
      </c>
      <c r="F73" s="5">
        <f>E73*D73</f>
        <v>2400</v>
      </c>
      <c r="G73" s="146"/>
      <c r="H73" s="182">
        <f>$E$73*1</f>
        <v>400</v>
      </c>
      <c r="I73" s="182">
        <f>$E$73*0</f>
        <v>0</v>
      </c>
      <c r="J73" s="182">
        <f>$E$73*1</f>
        <v>400</v>
      </c>
      <c r="K73" s="182">
        <f>$E$73*1</f>
        <v>400</v>
      </c>
      <c r="L73" s="182">
        <f>$E$73*0</f>
        <v>0</v>
      </c>
      <c r="M73" s="182">
        <f>$E$73*0</f>
        <v>0</v>
      </c>
      <c r="N73" s="182">
        <f>$E$73*1</f>
        <v>400</v>
      </c>
      <c r="O73" s="182">
        <f>$E$73*0</f>
        <v>0</v>
      </c>
      <c r="P73" s="182">
        <f>$E$73*0</f>
        <v>0</v>
      </c>
      <c r="Q73" s="182">
        <f>$E$73*1</f>
        <v>400</v>
      </c>
      <c r="R73" s="182">
        <f>$E$73*1</f>
        <v>400</v>
      </c>
      <c r="S73" s="182">
        <f>$E$73*0</f>
        <v>0</v>
      </c>
      <c r="T73" s="165">
        <f>SUM(H73:S73)</f>
        <v>2400</v>
      </c>
    </row>
    <row r="74" spans="1:31" s="10" customFormat="1" ht="16.2" thickBot="1" x14ac:dyDescent="0.35">
      <c r="A74" s="92"/>
      <c r="B74" s="92"/>
      <c r="C74" s="264" t="s">
        <v>196</v>
      </c>
      <c r="D74" s="265"/>
      <c r="E74" s="265"/>
      <c r="F74" s="266"/>
      <c r="G74" s="94">
        <f>SUM(F73:F73)</f>
        <v>2400</v>
      </c>
      <c r="H74" s="94">
        <f>SUM(H73)</f>
        <v>400</v>
      </c>
      <c r="I74" s="94">
        <f t="shared" ref="I74:S74" si="54">SUM(I73)</f>
        <v>0</v>
      </c>
      <c r="J74" s="94">
        <f t="shared" si="54"/>
        <v>400</v>
      </c>
      <c r="K74" s="94">
        <f t="shared" si="54"/>
        <v>400</v>
      </c>
      <c r="L74" s="94">
        <f t="shared" si="54"/>
        <v>0</v>
      </c>
      <c r="M74" s="94">
        <f t="shared" si="54"/>
        <v>0</v>
      </c>
      <c r="N74" s="94">
        <f t="shared" si="54"/>
        <v>400</v>
      </c>
      <c r="O74" s="94">
        <f t="shared" si="54"/>
        <v>0</v>
      </c>
      <c r="P74" s="94">
        <f t="shared" si="54"/>
        <v>0</v>
      </c>
      <c r="Q74" s="94">
        <f t="shared" si="54"/>
        <v>400</v>
      </c>
      <c r="R74" s="94">
        <f t="shared" si="54"/>
        <v>400</v>
      </c>
      <c r="S74" s="94">
        <f t="shared" si="54"/>
        <v>0</v>
      </c>
      <c r="T74" s="94">
        <f>SUM(T73)</f>
        <v>2400</v>
      </c>
      <c r="U74" s="14"/>
    </row>
    <row r="75" spans="1:31" x14ac:dyDescent="0.25">
      <c r="B75" s="48"/>
      <c r="G75" s="146"/>
      <c r="H75" s="183"/>
      <c r="I75" s="183"/>
      <c r="J75" s="183"/>
      <c r="K75" s="183"/>
      <c r="L75" s="183"/>
      <c r="M75" s="183"/>
      <c r="N75" s="81"/>
      <c r="O75" s="81"/>
      <c r="P75" s="81"/>
      <c r="Q75" s="81"/>
      <c r="R75" s="81"/>
      <c r="S75" s="153"/>
      <c r="T75" s="154"/>
      <c r="U75" s="5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s="4" customFormat="1" x14ac:dyDescent="0.25">
      <c r="A76" s="2">
        <v>351</v>
      </c>
      <c r="B76" s="58">
        <v>35101</v>
      </c>
      <c r="C76" s="269" t="s">
        <v>236</v>
      </c>
      <c r="D76" s="269"/>
      <c r="G76" s="146"/>
      <c r="H76" s="82"/>
      <c r="I76" s="82"/>
      <c r="J76" s="82"/>
      <c r="K76" s="82"/>
      <c r="L76" s="82"/>
      <c r="M76" s="82"/>
      <c r="N76" s="85"/>
      <c r="O76" s="85"/>
      <c r="P76" s="85"/>
      <c r="Q76" s="85"/>
      <c r="R76" s="85"/>
      <c r="S76" s="151"/>
      <c r="T76" s="152"/>
    </row>
    <row r="77" spans="1:31" s="4" customFormat="1" x14ac:dyDescent="0.25">
      <c r="B77" s="58"/>
      <c r="C77" s="4" t="s">
        <v>372</v>
      </c>
      <c r="D77" s="4">
        <v>12</v>
      </c>
      <c r="E77" s="5">
        <v>3200</v>
      </c>
      <c r="F77" s="5">
        <f>E77*D77</f>
        <v>38400</v>
      </c>
      <c r="G77" s="146"/>
      <c r="H77" s="182">
        <f>$E$77*1</f>
        <v>3200</v>
      </c>
      <c r="I77" s="182">
        <f t="shared" ref="I77:S77" si="55">$E$77*1</f>
        <v>3200</v>
      </c>
      <c r="J77" s="182">
        <f t="shared" si="55"/>
        <v>3200</v>
      </c>
      <c r="K77" s="182">
        <f t="shared" si="55"/>
        <v>3200</v>
      </c>
      <c r="L77" s="182">
        <f t="shared" si="55"/>
        <v>3200</v>
      </c>
      <c r="M77" s="182">
        <f t="shared" si="55"/>
        <v>3200</v>
      </c>
      <c r="N77" s="182">
        <f t="shared" si="55"/>
        <v>3200</v>
      </c>
      <c r="O77" s="182">
        <f t="shared" si="55"/>
        <v>3200</v>
      </c>
      <c r="P77" s="182">
        <f t="shared" si="55"/>
        <v>3200</v>
      </c>
      <c r="Q77" s="182">
        <f t="shared" si="55"/>
        <v>3200</v>
      </c>
      <c r="R77" s="182">
        <f t="shared" si="55"/>
        <v>3200</v>
      </c>
      <c r="S77" s="83">
        <f t="shared" si="55"/>
        <v>3200</v>
      </c>
      <c r="T77" s="152">
        <f>SUM(H77:S77)</f>
        <v>38400</v>
      </c>
    </row>
    <row r="78" spans="1:31" s="4" customFormat="1" x14ac:dyDescent="0.25">
      <c r="B78" s="58"/>
      <c r="C78" s="4" t="s">
        <v>373</v>
      </c>
      <c r="D78" s="4">
        <v>12</v>
      </c>
      <c r="E78" s="5">
        <v>1300</v>
      </c>
      <c r="F78" s="5">
        <f>+D78*E78</f>
        <v>15600</v>
      </c>
      <c r="G78" s="146"/>
      <c r="H78" s="187">
        <f>$E$78*1</f>
        <v>1300</v>
      </c>
      <c r="I78" s="85">
        <f t="shared" ref="I78:S78" si="56">$E$78*1</f>
        <v>1300</v>
      </c>
      <c r="J78" s="85">
        <f t="shared" si="56"/>
        <v>1300</v>
      </c>
      <c r="K78" s="85">
        <f t="shared" si="56"/>
        <v>1300</v>
      </c>
      <c r="L78" s="85">
        <f t="shared" si="56"/>
        <v>1300</v>
      </c>
      <c r="M78" s="85">
        <f t="shared" si="56"/>
        <v>1300</v>
      </c>
      <c r="N78" s="85">
        <f t="shared" si="56"/>
        <v>1300</v>
      </c>
      <c r="O78" s="85">
        <f t="shared" si="56"/>
        <v>1300</v>
      </c>
      <c r="P78" s="85">
        <f t="shared" si="56"/>
        <v>1300</v>
      </c>
      <c r="Q78" s="85">
        <f t="shared" si="56"/>
        <v>1300</v>
      </c>
      <c r="R78" s="85">
        <f t="shared" si="56"/>
        <v>1300</v>
      </c>
      <c r="S78" s="83">
        <f t="shared" si="56"/>
        <v>1300</v>
      </c>
      <c r="T78" s="152">
        <f t="shared" ref="T78:T80" si="57">SUM(H78:S78)</f>
        <v>15600</v>
      </c>
    </row>
    <row r="79" spans="1:31" s="4" customFormat="1" x14ac:dyDescent="0.25">
      <c r="B79" s="58"/>
      <c r="C79" s="4" t="s">
        <v>374</v>
      </c>
      <c r="D79" s="4">
        <v>6</v>
      </c>
      <c r="E79" s="5">
        <v>1000</v>
      </c>
      <c r="F79" s="5">
        <f>+D79*E79</f>
        <v>6000</v>
      </c>
      <c r="G79" s="146"/>
      <c r="H79" s="187">
        <f>$E$79*1</f>
        <v>1000</v>
      </c>
      <c r="I79" s="85">
        <f>$E$80*0</f>
        <v>0</v>
      </c>
      <c r="J79" s="85">
        <f>$E$79*1</f>
        <v>1000</v>
      </c>
      <c r="K79" s="85">
        <f>$E$80*0</f>
        <v>0</v>
      </c>
      <c r="L79" s="85">
        <f>$E$79*1</f>
        <v>1000</v>
      </c>
      <c r="M79" s="85">
        <f>$E$80*0</f>
        <v>0</v>
      </c>
      <c r="N79" s="85">
        <f>$E$79*1</f>
        <v>1000</v>
      </c>
      <c r="O79" s="85">
        <f>$E$80*0</f>
        <v>0</v>
      </c>
      <c r="P79" s="85">
        <f>$E$79*1</f>
        <v>1000</v>
      </c>
      <c r="Q79" s="85">
        <f>$E$80*0</f>
        <v>0</v>
      </c>
      <c r="R79" s="85">
        <f>$E$79*1</f>
        <v>1000</v>
      </c>
      <c r="S79" s="83">
        <f>$E$80*0</f>
        <v>0</v>
      </c>
      <c r="T79" s="152">
        <f t="shared" si="57"/>
        <v>6000</v>
      </c>
    </row>
    <row r="80" spans="1:31" s="4" customFormat="1" ht="13.8" thickBot="1" x14ac:dyDescent="0.3">
      <c r="B80" s="58"/>
      <c r="C80" s="4" t="s">
        <v>384</v>
      </c>
      <c r="D80" s="4">
        <v>0</v>
      </c>
      <c r="E80" s="5">
        <v>800</v>
      </c>
      <c r="F80" s="5">
        <f>+D80*E80</f>
        <v>0</v>
      </c>
      <c r="G80" s="146"/>
      <c r="H80" s="217">
        <f>$E$80*0</f>
        <v>0</v>
      </c>
      <c r="I80" s="217">
        <f t="shared" ref="I80:S80" si="58">$E$80*0</f>
        <v>0</v>
      </c>
      <c r="J80" s="217">
        <f t="shared" si="58"/>
        <v>0</v>
      </c>
      <c r="K80" s="217">
        <f t="shared" si="58"/>
        <v>0</v>
      </c>
      <c r="L80" s="217">
        <f t="shared" si="58"/>
        <v>0</v>
      </c>
      <c r="M80" s="217">
        <f t="shared" si="58"/>
        <v>0</v>
      </c>
      <c r="N80" s="217">
        <f t="shared" si="58"/>
        <v>0</v>
      </c>
      <c r="O80" s="217">
        <f t="shared" si="58"/>
        <v>0</v>
      </c>
      <c r="P80" s="217">
        <f t="shared" si="58"/>
        <v>0</v>
      </c>
      <c r="Q80" s="217">
        <f t="shared" si="58"/>
        <v>0</v>
      </c>
      <c r="R80" s="217">
        <f t="shared" si="58"/>
        <v>0</v>
      </c>
      <c r="S80" s="217">
        <f t="shared" si="58"/>
        <v>0</v>
      </c>
      <c r="T80" s="152">
        <f t="shared" si="57"/>
        <v>0</v>
      </c>
    </row>
    <row r="81" spans="1:31" s="10" customFormat="1" ht="16.2" thickBot="1" x14ac:dyDescent="0.35">
      <c r="A81" s="92"/>
      <c r="B81" s="92"/>
      <c r="C81" s="264" t="s">
        <v>235</v>
      </c>
      <c r="D81" s="265"/>
      <c r="E81" s="265"/>
      <c r="F81" s="266"/>
      <c r="G81" s="94">
        <f>SUM(F77:F80)</f>
        <v>60000</v>
      </c>
      <c r="H81" s="174">
        <f>SUM(H77:H80)</f>
        <v>5500</v>
      </c>
      <c r="I81" s="174">
        <f t="shared" ref="I81:S81" si="59">SUM(I77:I80)</f>
        <v>4500</v>
      </c>
      <c r="J81" s="174">
        <f t="shared" si="59"/>
        <v>5500</v>
      </c>
      <c r="K81" s="174">
        <f t="shared" si="59"/>
        <v>4500</v>
      </c>
      <c r="L81" s="174">
        <f t="shared" si="59"/>
        <v>5500</v>
      </c>
      <c r="M81" s="174">
        <f t="shared" si="59"/>
        <v>4500</v>
      </c>
      <c r="N81" s="174">
        <f t="shared" si="59"/>
        <v>5500</v>
      </c>
      <c r="O81" s="174">
        <f t="shared" si="59"/>
        <v>4500</v>
      </c>
      <c r="P81" s="174">
        <f t="shared" si="59"/>
        <v>5500</v>
      </c>
      <c r="Q81" s="174">
        <f t="shared" si="59"/>
        <v>4500</v>
      </c>
      <c r="R81" s="174">
        <f t="shared" si="59"/>
        <v>5500</v>
      </c>
      <c r="S81" s="174">
        <f t="shared" si="59"/>
        <v>4500</v>
      </c>
      <c r="T81" s="94">
        <f>SUM(T77:T80)</f>
        <v>60000</v>
      </c>
      <c r="U81" s="14"/>
    </row>
    <row r="82" spans="1:31" x14ac:dyDescent="0.25">
      <c r="B82" s="48"/>
      <c r="G82" s="146"/>
      <c r="H82" s="183"/>
      <c r="I82" s="183"/>
      <c r="J82" s="183"/>
      <c r="K82" s="183"/>
      <c r="L82" s="183"/>
      <c r="M82" s="183"/>
      <c r="N82" s="81"/>
      <c r="O82" s="81"/>
      <c r="P82" s="81"/>
      <c r="Q82" s="81"/>
      <c r="R82" s="81"/>
      <c r="S82" s="153"/>
      <c r="T82" s="154"/>
      <c r="U82" s="5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s="4" customFormat="1" x14ac:dyDescent="0.25">
      <c r="A83" s="2">
        <v>352</v>
      </c>
      <c r="B83" s="58">
        <v>35201</v>
      </c>
      <c r="C83" s="270" t="s">
        <v>237</v>
      </c>
      <c r="D83" s="270"/>
      <c r="G83" s="146"/>
      <c r="H83" s="82"/>
      <c r="I83" s="82"/>
      <c r="J83" s="82"/>
      <c r="K83" s="82"/>
      <c r="L83" s="82"/>
      <c r="M83" s="82"/>
      <c r="N83" s="85"/>
      <c r="O83" s="85"/>
      <c r="P83" s="85"/>
      <c r="Q83" s="85"/>
      <c r="R83" s="85"/>
      <c r="S83" s="151"/>
      <c r="T83" s="152"/>
    </row>
    <row r="84" spans="1:31" s="4" customFormat="1" ht="13.8" thickBot="1" x14ac:dyDescent="0.3">
      <c r="B84" s="48"/>
      <c r="C84" s="4" t="s">
        <v>40</v>
      </c>
      <c r="D84" s="4">
        <v>1</v>
      </c>
      <c r="E84" s="5">
        <v>0</v>
      </c>
      <c r="F84" s="5">
        <f>E84*D84</f>
        <v>0</v>
      </c>
      <c r="G84" s="146"/>
      <c r="H84" s="182">
        <f>$E$84*1</f>
        <v>0</v>
      </c>
      <c r="I84" s="182">
        <f>$E$84*0</f>
        <v>0</v>
      </c>
      <c r="J84" s="182">
        <f t="shared" ref="J84:N84" si="60">$E$84*0</f>
        <v>0</v>
      </c>
      <c r="K84" s="182">
        <f t="shared" si="60"/>
        <v>0</v>
      </c>
      <c r="L84" s="182">
        <f t="shared" si="60"/>
        <v>0</v>
      </c>
      <c r="M84" s="182">
        <f t="shared" si="60"/>
        <v>0</v>
      </c>
      <c r="N84" s="182">
        <f t="shared" si="60"/>
        <v>0</v>
      </c>
      <c r="O84" s="182">
        <f>$E$84*0</f>
        <v>0</v>
      </c>
      <c r="P84" s="182">
        <f>$E$84*0</f>
        <v>0</v>
      </c>
      <c r="Q84" s="182">
        <f t="shared" ref="Q84:R84" si="61">$E$84*0</f>
        <v>0</v>
      </c>
      <c r="R84" s="182">
        <f t="shared" si="61"/>
        <v>0</v>
      </c>
      <c r="S84" s="182">
        <f>$E$84*0</f>
        <v>0</v>
      </c>
      <c r="T84" s="165">
        <f>SUM(H84:S84)</f>
        <v>0</v>
      </c>
    </row>
    <row r="85" spans="1:31" s="10" customFormat="1" ht="16.2" thickBot="1" x14ac:dyDescent="0.35">
      <c r="A85" s="92"/>
      <c r="B85" s="92"/>
      <c r="C85" s="264" t="s">
        <v>238</v>
      </c>
      <c r="D85" s="265"/>
      <c r="E85" s="265"/>
      <c r="F85" s="266"/>
      <c r="G85" s="94">
        <f>SUM(F84:F84)</f>
        <v>0</v>
      </c>
      <c r="H85" s="94">
        <f>SUM(H84)</f>
        <v>0</v>
      </c>
      <c r="I85" s="94">
        <f t="shared" ref="I85:S85" si="62">SUM(I84)</f>
        <v>0</v>
      </c>
      <c r="J85" s="94">
        <f t="shared" si="62"/>
        <v>0</v>
      </c>
      <c r="K85" s="94">
        <f t="shared" si="62"/>
        <v>0</v>
      </c>
      <c r="L85" s="94">
        <f t="shared" si="62"/>
        <v>0</v>
      </c>
      <c r="M85" s="94">
        <f t="shared" si="62"/>
        <v>0</v>
      </c>
      <c r="N85" s="94">
        <f t="shared" si="62"/>
        <v>0</v>
      </c>
      <c r="O85" s="94">
        <f t="shared" si="62"/>
        <v>0</v>
      </c>
      <c r="P85" s="94">
        <f t="shared" si="62"/>
        <v>0</v>
      </c>
      <c r="Q85" s="94">
        <f t="shared" si="62"/>
        <v>0</v>
      </c>
      <c r="R85" s="94">
        <f t="shared" si="62"/>
        <v>0</v>
      </c>
      <c r="S85" s="94">
        <f t="shared" si="62"/>
        <v>0</v>
      </c>
      <c r="T85" s="94">
        <f>SUM(T84)</f>
        <v>0</v>
      </c>
      <c r="U85" s="14"/>
    </row>
    <row r="86" spans="1:31" x14ac:dyDescent="0.25">
      <c r="B86" s="48"/>
      <c r="G86" s="146"/>
      <c r="H86" s="183"/>
      <c r="I86" s="183"/>
      <c r="J86" s="183"/>
      <c r="K86" s="183"/>
      <c r="L86" s="183"/>
      <c r="M86" s="183"/>
      <c r="N86" s="81"/>
      <c r="O86" s="81"/>
      <c r="P86" s="81"/>
      <c r="Q86" s="81"/>
      <c r="R86" s="81"/>
      <c r="S86" s="153"/>
      <c r="T86" s="154"/>
      <c r="U86" s="5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s="4" customFormat="1" x14ac:dyDescent="0.25">
      <c r="A87" s="2">
        <v>355</v>
      </c>
      <c r="B87" s="58">
        <v>35501</v>
      </c>
      <c r="C87" s="2" t="s">
        <v>239</v>
      </c>
      <c r="D87" s="2"/>
      <c r="G87" s="146"/>
      <c r="H87" s="82"/>
      <c r="I87" s="82"/>
      <c r="J87" s="82"/>
      <c r="K87" s="82"/>
      <c r="L87" s="82"/>
      <c r="M87" s="82"/>
      <c r="N87" s="85"/>
      <c r="O87" s="85"/>
      <c r="P87" s="85"/>
      <c r="Q87" s="85"/>
      <c r="R87" s="85"/>
      <c r="S87" s="151"/>
      <c r="T87" s="152"/>
    </row>
    <row r="88" spans="1:31" s="4" customFormat="1" ht="13.8" thickBot="1" x14ac:dyDescent="0.3">
      <c r="B88" s="48"/>
      <c r="C88" s="4" t="s">
        <v>42</v>
      </c>
      <c r="D88" s="4">
        <v>2</v>
      </c>
      <c r="E88" s="5">
        <v>6674.165</v>
      </c>
      <c r="F88" s="5">
        <f>E88*D88</f>
        <v>13348.33</v>
      </c>
      <c r="G88" s="146"/>
      <c r="H88" s="182">
        <f>$E$88*0</f>
        <v>0</v>
      </c>
      <c r="I88" s="182">
        <f>$E$88*1</f>
        <v>6674.165</v>
      </c>
      <c r="J88" s="182">
        <f>$E$88*0</f>
        <v>0</v>
      </c>
      <c r="K88" s="182">
        <f>$E$88*0</f>
        <v>0</v>
      </c>
      <c r="L88" s="182">
        <f>$E$88*0</f>
        <v>0</v>
      </c>
      <c r="M88" s="182">
        <f>$E$88*0</f>
        <v>0</v>
      </c>
      <c r="N88" s="182">
        <f>$E$88*1</f>
        <v>6674.165</v>
      </c>
      <c r="O88" s="182">
        <f>$E$88*0</f>
        <v>0</v>
      </c>
      <c r="P88" s="182">
        <f>$E$88*0</f>
        <v>0</v>
      </c>
      <c r="Q88" s="182">
        <f>$E$88*0</f>
        <v>0</v>
      </c>
      <c r="R88" s="182">
        <f>$E$88*0</f>
        <v>0</v>
      </c>
      <c r="S88" s="182">
        <f>$E$88*0</f>
        <v>0</v>
      </c>
      <c r="T88" s="165">
        <f>SUM(H88:S88)</f>
        <v>13348.33</v>
      </c>
    </row>
    <row r="89" spans="1:31" s="10" customFormat="1" ht="16.2" thickBot="1" x14ac:dyDescent="0.35">
      <c r="A89" s="92"/>
      <c r="B89" s="92"/>
      <c r="C89" s="264" t="s">
        <v>240</v>
      </c>
      <c r="D89" s="265"/>
      <c r="E89" s="265"/>
      <c r="F89" s="266"/>
      <c r="G89" s="94">
        <f>SUM(F88:F88)</f>
        <v>13348.33</v>
      </c>
      <c r="H89" s="94">
        <f t="shared" ref="H89:T89" si="63">SUM(H88:H88)</f>
        <v>0</v>
      </c>
      <c r="I89" s="94">
        <f t="shared" si="63"/>
        <v>6674.165</v>
      </c>
      <c r="J89" s="94">
        <f t="shared" si="63"/>
        <v>0</v>
      </c>
      <c r="K89" s="94">
        <f t="shared" si="63"/>
        <v>0</v>
      </c>
      <c r="L89" s="94">
        <f t="shared" si="63"/>
        <v>0</v>
      </c>
      <c r="M89" s="94">
        <f t="shared" si="63"/>
        <v>0</v>
      </c>
      <c r="N89" s="94">
        <f t="shared" si="63"/>
        <v>6674.165</v>
      </c>
      <c r="O89" s="94">
        <f t="shared" si="63"/>
        <v>0</v>
      </c>
      <c r="P89" s="94">
        <f t="shared" si="63"/>
        <v>0</v>
      </c>
      <c r="Q89" s="94">
        <f t="shared" si="63"/>
        <v>0</v>
      </c>
      <c r="R89" s="94">
        <f t="shared" si="63"/>
        <v>0</v>
      </c>
      <c r="S89" s="94">
        <f t="shared" si="63"/>
        <v>0</v>
      </c>
      <c r="T89" s="94">
        <f t="shared" si="63"/>
        <v>13348.33</v>
      </c>
      <c r="U89" s="14"/>
    </row>
    <row r="90" spans="1:31" x14ac:dyDescent="0.25">
      <c r="B90" s="48"/>
      <c r="G90" s="146"/>
      <c r="H90" s="183"/>
      <c r="I90" s="183"/>
      <c r="J90" s="183"/>
      <c r="K90" s="183"/>
      <c r="L90" s="183"/>
      <c r="M90" s="183"/>
      <c r="N90" s="81"/>
      <c r="O90" s="81"/>
      <c r="P90" s="81"/>
      <c r="Q90" s="81"/>
      <c r="R90" s="81"/>
      <c r="S90" s="153"/>
      <c r="T90" s="154"/>
      <c r="U90" s="5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s="4" customFormat="1" x14ac:dyDescent="0.25">
      <c r="A91" s="2">
        <v>357</v>
      </c>
      <c r="B91" s="58">
        <v>35701</v>
      </c>
      <c r="C91" s="270" t="s">
        <v>241</v>
      </c>
      <c r="D91" s="270"/>
      <c r="G91" s="146"/>
      <c r="H91" s="82"/>
      <c r="I91" s="82"/>
      <c r="J91" s="82"/>
      <c r="K91" s="82"/>
      <c r="L91" s="82"/>
      <c r="M91" s="82"/>
      <c r="N91" s="85"/>
      <c r="O91" s="85"/>
      <c r="P91" s="85"/>
      <c r="Q91" s="85"/>
      <c r="R91" s="85"/>
      <c r="S91" s="151"/>
      <c r="T91" s="152"/>
    </row>
    <row r="92" spans="1:31" s="4" customFormat="1" x14ac:dyDescent="0.25">
      <c r="B92" s="58"/>
      <c r="C92" s="4" t="s">
        <v>360</v>
      </c>
      <c r="D92" s="4">
        <v>2</v>
      </c>
      <c r="E92" s="5">
        <v>900</v>
      </c>
      <c r="F92" s="5">
        <f>E92*D92</f>
        <v>1800</v>
      </c>
      <c r="G92" s="146"/>
      <c r="H92" s="82">
        <f>$E$92*0</f>
        <v>0</v>
      </c>
      <c r="I92" s="82">
        <f>$E$92*0</f>
        <v>0</v>
      </c>
      <c r="J92" s="82">
        <f>$E$92*0</f>
        <v>0</v>
      </c>
      <c r="K92" s="82">
        <f>$E$92*0</f>
        <v>0</v>
      </c>
      <c r="L92" s="82">
        <f>$E$92*2</f>
        <v>1800</v>
      </c>
      <c r="M92" s="82">
        <f>$E$92*0</f>
        <v>0</v>
      </c>
      <c r="N92" s="82">
        <f t="shared" ref="N92:S92" si="64">$E$92*0</f>
        <v>0</v>
      </c>
      <c r="O92" s="82">
        <f t="shared" si="64"/>
        <v>0</v>
      </c>
      <c r="P92" s="82">
        <f t="shared" si="64"/>
        <v>0</v>
      </c>
      <c r="Q92" s="82">
        <f t="shared" si="64"/>
        <v>0</v>
      </c>
      <c r="R92" s="82">
        <f t="shared" si="64"/>
        <v>0</v>
      </c>
      <c r="S92" s="82">
        <f t="shared" si="64"/>
        <v>0</v>
      </c>
      <c r="T92" s="152">
        <f>SUM(H92:S92)</f>
        <v>1800</v>
      </c>
    </row>
    <row r="93" spans="1:31" s="4" customFormat="1" x14ac:dyDescent="0.25">
      <c r="B93" s="58"/>
      <c r="C93" s="4" t="s">
        <v>360</v>
      </c>
      <c r="D93" s="4">
        <v>2</v>
      </c>
      <c r="E93" s="5">
        <v>900</v>
      </c>
      <c r="F93" s="5">
        <f t="shared" ref="F93:F94" si="65">E93*D93</f>
        <v>1800</v>
      </c>
      <c r="H93" s="187">
        <f>$E$93*0</f>
        <v>0</v>
      </c>
      <c r="I93" s="85">
        <f t="shared" ref="I93:S93" si="66">$E$93*0</f>
        <v>0</v>
      </c>
      <c r="J93" s="85">
        <f t="shared" si="66"/>
        <v>0</v>
      </c>
      <c r="K93" s="85">
        <f t="shared" si="66"/>
        <v>0</v>
      </c>
      <c r="L93" s="85">
        <f>$E$93*2</f>
        <v>1800</v>
      </c>
      <c r="M93" s="85">
        <f t="shared" si="66"/>
        <v>0</v>
      </c>
      <c r="N93" s="85">
        <f t="shared" si="66"/>
        <v>0</v>
      </c>
      <c r="O93" s="85">
        <f t="shared" si="66"/>
        <v>0</v>
      </c>
      <c r="P93" s="85">
        <f t="shared" si="66"/>
        <v>0</v>
      </c>
      <c r="Q93" s="85">
        <f t="shared" si="66"/>
        <v>0</v>
      </c>
      <c r="R93" s="85">
        <f t="shared" si="66"/>
        <v>0</v>
      </c>
      <c r="S93" s="151">
        <f t="shared" si="66"/>
        <v>0</v>
      </c>
      <c r="T93" s="152">
        <f>SUM(H93:S93)</f>
        <v>1800</v>
      </c>
    </row>
    <row r="94" spans="1:31" s="4" customFormat="1" ht="13.8" thickBot="1" x14ac:dyDescent="0.3">
      <c r="B94" s="58"/>
      <c r="C94" s="4" t="s">
        <v>361</v>
      </c>
      <c r="D94" s="4">
        <v>1</v>
      </c>
      <c r="E94" s="5">
        <v>700</v>
      </c>
      <c r="F94" s="5">
        <f t="shared" si="65"/>
        <v>700</v>
      </c>
      <c r="H94" s="189">
        <f>$E$94*0</f>
        <v>0</v>
      </c>
      <c r="I94" s="172">
        <f t="shared" ref="I94:S94" si="67">$E$94*0</f>
        <v>0</v>
      </c>
      <c r="J94" s="172">
        <f t="shared" si="67"/>
        <v>0</v>
      </c>
      <c r="K94" s="172">
        <f t="shared" si="67"/>
        <v>0</v>
      </c>
      <c r="L94" s="172">
        <f>$E$94*1</f>
        <v>700</v>
      </c>
      <c r="M94" s="172">
        <f t="shared" si="67"/>
        <v>0</v>
      </c>
      <c r="N94" s="172">
        <f t="shared" si="67"/>
        <v>0</v>
      </c>
      <c r="O94" s="172">
        <f t="shared" si="67"/>
        <v>0</v>
      </c>
      <c r="P94" s="172">
        <f t="shared" si="67"/>
        <v>0</v>
      </c>
      <c r="Q94" s="172">
        <f t="shared" si="67"/>
        <v>0</v>
      </c>
      <c r="R94" s="172">
        <f t="shared" si="67"/>
        <v>0</v>
      </c>
      <c r="S94" s="171">
        <f t="shared" si="67"/>
        <v>0</v>
      </c>
      <c r="T94" s="192">
        <f>SUM(H94:S94)</f>
        <v>700</v>
      </c>
    </row>
    <row r="95" spans="1:31" s="10" customFormat="1" ht="16.2" thickBot="1" x14ac:dyDescent="0.35">
      <c r="A95" s="92"/>
      <c r="B95" s="92"/>
      <c r="C95" s="264" t="s">
        <v>242</v>
      </c>
      <c r="D95" s="265"/>
      <c r="E95" s="265"/>
      <c r="F95" s="266"/>
      <c r="G95" s="94">
        <f>SUM(F92:F94)</f>
        <v>4300</v>
      </c>
      <c r="H95" s="174">
        <f>SUM(H92:H94)</f>
        <v>0</v>
      </c>
      <c r="I95" s="174">
        <f>SUM(I92:I94)</f>
        <v>0</v>
      </c>
      <c r="J95" s="174">
        <f t="shared" ref="J95:S95" si="68">SUM(J92:J94)</f>
        <v>0</v>
      </c>
      <c r="K95" s="174">
        <f t="shared" si="68"/>
        <v>0</v>
      </c>
      <c r="L95" s="174">
        <f t="shared" si="68"/>
        <v>4300</v>
      </c>
      <c r="M95" s="174">
        <f t="shared" si="68"/>
        <v>0</v>
      </c>
      <c r="N95" s="174">
        <f t="shared" si="68"/>
        <v>0</v>
      </c>
      <c r="O95" s="174">
        <f t="shared" si="68"/>
        <v>0</v>
      </c>
      <c r="P95" s="174">
        <f t="shared" si="68"/>
        <v>0</v>
      </c>
      <c r="Q95" s="174">
        <f t="shared" si="68"/>
        <v>0</v>
      </c>
      <c r="R95" s="174">
        <f t="shared" si="68"/>
        <v>0</v>
      </c>
      <c r="S95" s="174">
        <f t="shared" si="68"/>
        <v>0</v>
      </c>
      <c r="T95" s="174">
        <f>SUM(T92:T94)</f>
        <v>4300</v>
      </c>
      <c r="U95" s="14"/>
    </row>
    <row r="96" spans="1:31" x14ac:dyDescent="0.25">
      <c r="B96" s="48"/>
      <c r="G96" s="146"/>
      <c r="H96" s="183"/>
      <c r="I96" s="183"/>
      <c r="J96" s="183"/>
      <c r="K96" s="183"/>
      <c r="L96" s="183"/>
      <c r="M96" s="183"/>
      <c r="N96" s="81"/>
      <c r="O96" s="81"/>
      <c r="P96" s="81"/>
      <c r="Q96" s="81"/>
      <c r="R96" s="81"/>
      <c r="S96" s="153"/>
      <c r="T96" s="154"/>
      <c r="U96" s="5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s="4" customFormat="1" x14ac:dyDescent="0.25">
      <c r="A97" s="2">
        <v>359</v>
      </c>
      <c r="B97" s="58">
        <v>35901</v>
      </c>
      <c r="C97" s="2" t="s">
        <v>243</v>
      </c>
      <c r="G97" s="146"/>
      <c r="H97" s="82"/>
      <c r="I97" s="82"/>
      <c r="J97" s="82"/>
      <c r="K97" s="82"/>
      <c r="L97" s="82"/>
      <c r="M97" s="82"/>
      <c r="N97" s="85"/>
      <c r="O97" s="85"/>
      <c r="P97" s="85"/>
      <c r="Q97" s="85"/>
      <c r="R97" s="85"/>
      <c r="S97" s="151"/>
      <c r="T97" s="152"/>
    </row>
    <row r="98" spans="1:31" s="4" customFormat="1" ht="13.8" thickBot="1" x14ac:dyDescent="0.3">
      <c r="B98" s="48"/>
      <c r="C98" s="4" t="s">
        <v>83</v>
      </c>
      <c r="D98" s="4">
        <v>1</v>
      </c>
      <c r="E98" s="5">
        <v>9100</v>
      </c>
      <c r="F98" s="5">
        <f>E98*D98</f>
        <v>9100</v>
      </c>
      <c r="G98" s="146"/>
      <c r="H98" s="182">
        <f>$E$98*0</f>
        <v>0</v>
      </c>
      <c r="I98" s="182">
        <f>$E$98*1</f>
        <v>9100</v>
      </c>
      <c r="J98" s="182">
        <f>$E$98*0</f>
        <v>0</v>
      </c>
      <c r="K98" s="182">
        <f t="shared" ref="K98:S98" si="69">$E$98*0</f>
        <v>0</v>
      </c>
      <c r="L98" s="182">
        <f t="shared" si="69"/>
        <v>0</v>
      </c>
      <c r="M98" s="182">
        <f t="shared" si="69"/>
        <v>0</v>
      </c>
      <c r="N98" s="182">
        <f t="shared" si="69"/>
        <v>0</v>
      </c>
      <c r="O98" s="182">
        <f t="shared" si="69"/>
        <v>0</v>
      </c>
      <c r="P98" s="182">
        <f t="shared" si="69"/>
        <v>0</v>
      </c>
      <c r="Q98" s="182">
        <f t="shared" si="69"/>
        <v>0</v>
      </c>
      <c r="R98" s="182">
        <f t="shared" si="69"/>
        <v>0</v>
      </c>
      <c r="S98" s="182">
        <f t="shared" si="69"/>
        <v>0</v>
      </c>
      <c r="T98" s="165">
        <f>SUM(H98:S98)</f>
        <v>9100</v>
      </c>
    </row>
    <row r="99" spans="1:31" s="10" customFormat="1" ht="16.2" thickBot="1" x14ac:dyDescent="0.35">
      <c r="A99" s="92"/>
      <c r="B99" s="92"/>
      <c r="C99" s="264" t="s">
        <v>244</v>
      </c>
      <c r="D99" s="265"/>
      <c r="E99" s="265"/>
      <c r="F99" s="266"/>
      <c r="G99" s="94">
        <f>SUM(F98:F98)</f>
        <v>9100</v>
      </c>
      <c r="H99" s="94">
        <f>SUM(H98)</f>
        <v>0</v>
      </c>
      <c r="I99" s="94">
        <f t="shared" ref="I99:S99" si="70">SUM(I98)</f>
        <v>9100</v>
      </c>
      <c r="J99" s="94">
        <f t="shared" si="70"/>
        <v>0</v>
      </c>
      <c r="K99" s="94">
        <f t="shared" si="70"/>
        <v>0</v>
      </c>
      <c r="L99" s="94">
        <f t="shared" si="70"/>
        <v>0</v>
      </c>
      <c r="M99" s="94">
        <f t="shared" si="70"/>
        <v>0</v>
      </c>
      <c r="N99" s="94">
        <f t="shared" si="70"/>
        <v>0</v>
      </c>
      <c r="O99" s="94">
        <f t="shared" si="70"/>
        <v>0</v>
      </c>
      <c r="P99" s="94">
        <f t="shared" si="70"/>
        <v>0</v>
      </c>
      <c r="Q99" s="94">
        <f t="shared" si="70"/>
        <v>0</v>
      </c>
      <c r="R99" s="94">
        <f t="shared" si="70"/>
        <v>0</v>
      </c>
      <c r="S99" s="94">
        <f t="shared" si="70"/>
        <v>0</v>
      </c>
      <c r="T99" s="94">
        <f>SUM(T98)</f>
        <v>9100</v>
      </c>
      <c r="U99" s="14"/>
    </row>
    <row r="100" spans="1:31" x14ac:dyDescent="0.25">
      <c r="B100" s="48"/>
      <c r="G100" s="146"/>
      <c r="H100" s="183"/>
      <c r="I100" s="183"/>
      <c r="J100" s="183"/>
      <c r="K100" s="183"/>
      <c r="L100" s="183"/>
      <c r="M100" s="183"/>
      <c r="N100" s="81"/>
      <c r="O100" s="81"/>
      <c r="P100" s="81"/>
      <c r="Q100" s="81"/>
      <c r="R100" s="81"/>
      <c r="S100" s="153"/>
      <c r="T100" s="154"/>
      <c r="U100" s="5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x14ac:dyDescent="0.25">
      <c r="A101" s="2">
        <v>360</v>
      </c>
      <c r="B101" s="58">
        <v>36101</v>
      </c>
      <c r="C101" s="2" t="s">
        <v>485</v>
      </c>
      <c r="G101" s="146"/>
      <c r="H101" s="183"/>
      <c r="I101" s="183"/>
      <c r="J101" s="183"/>
      <c r="K101" s="183"/>
      <c r="L101" s="183"/>
      <c r="M101" s="183"/>
      <c r="N101" s="81"/>
      <c r="O101" s="81"/>
      <c r="P101" s="81"/>
      <c r="Q101" s="81"/>
      <c r="R101" s="81"/>
      <c r="S101" s="153"/>
      <c r="T101" s="154"/>
      <c r="U101" s="5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ht="13.8" thickBot="1" x14ac:dyDescent="0.3">
      <c r="B102" s="48"/>
      <c r="C102" s="4" t="s">
        <v>486</v>
      </c>
      <c r="D102" s="4">
        <v>12</v>
      </c>
      <c r="E102" s="5">
        <v>208333</v>
      </c>
      <c r="F102" s="5">
        <f>+D102*E102</f>
        <v>2499996</v>
      </c>
      <c r="G102" s="146"/>
      <c r="H102" s="182">
        <f>$E$102*1</f>
        <v>208333</v>
      </c>
      <c r="I102" s="182">
        <f t="shared" ref="I102:S102" si="71">$E$102*1</f>
        <v>208333</v>
      </c>
      <c r="J102" s="182">
        <f t="shared" si="71"/>
        <v>208333</v>
      </c>
      <c r="K102" s="182">
        <f t="shared" si="71"/>
        <v>208333</v>
      </c>
      <c r="L102" s="182">
        <f t="shared" si="71"/>
        <v>208333</v>
      </c>
      <c r="M102" s="182">
        <f t="shared" si="71"/>
        <v>208333</v>
      </c>
      <c r="N102" s="182">
        <f t="shared" si="71"/>
        <v>208333</v>
      </c>
      <c r="O102" s="182">
        <f t="shared" si="71"/>
        <v>208333</v>
      </c>
      <c r="P102" s="182">
        <f t="shared" si="71"/>
        <v>208333</v>
      </c>
      <c r="Q102" s="182">
        <f t="shared" si="71"/>
        <v>208333</v>
      </c>
      <c r="R102" s="182">
        <v>208337</v>
      </c>
      <c r="S102" s="182">
        <f t="shared" si="71"/>
        <v>208333</v>
      </c>
      <c r="T102" s="154">
        <f>SUM(H102:S102)</f>
        <v>2500000</v>
      </c>
      <c r="U102" s="5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ht="16.2" thickBot="1" x14ac:dyDescent="0.35">
      <c r="A103" s="92"/>
      <c r="B103" s="92"/>
      <c r="C103" s="264" t="s">
        <v>487</v>
      </c>
      <c r="D103" s="265"/>
      <c r="E103" s="265"/>
      <c r="F103" s="266"/>
      <c r="G103" s="94">
        <f>SUM(H103:S103)</f>
        <v>2500000</v>
      </c>
      <c r="H103" s="94">
        <f>SUM(H102)</f>
        <v>208333</v>
      </c>
      <c r="I103" s="94">
        <f t="shared" ref="I103:S103" si="72">SUM(I102)</f>
        <v>208333</v>
      </c>
      <c r="J103" s="94">
        <f t="shared" si="72"/>
        <v>208333</v>
      </c>
      <c r="K103" s="94">
        <f t="shared" si="72"/>
        <v>208333</v>
      </c>
      <c r="L103" s="94">
        <f t="shared" si="72"/>
        <v>208333</v>
      </c>
      <c r="M103" s="94">
        <f t="shared" si="72"/>
        <v>208333</v>
      </c>
      <c r="N103" s="94">
        <f t="shared" si="72"/>
        <v>208333</v>
      </c>
      <c r="O103" s="94">
        <f t="shared" si="72"/>
        <v>208333</v>
      </c>
      <c r="P103" s="94">
        <f t="shared" si="72"/>
        <v>208333</v>
      </c>
      <c r="Q103" s="94">
        <f t="shared" si="72"/>
        <v>208333</v>
      </c>
      <c r="R103" s="94">
        <f t="shared" si="72"/>
        <v>208337</v>
      </c>
      <c r="S103" s="94">
        <f t="shared" si="72"/>
        <v>208333</v>
      </c>
      <c r="T103" s="94">
        <f>SUM(H103:S103)</f>
        <v>2500000</v>
      </c>
      <c r="U103" s="5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x14ac:dyDescent="0.25">
      <c r="B104" s="48"/>
      <c r="G104" s="49"/>
      <c r="H104" s="183"/>
      <c r="I104" s="183"/>
      <c r="J104" s="183"/>
      <c r="K104" s="183"/>
      <c r="L104" s="183"/>
      <c r="M104" s="183"/>
      <c r="N104" s="81"/>
      <c r="O104" s="81"/>
      <c r="P104" s="81"/>
      <c r="Q104" s="81"/>
      <c r="R104" s="81"/>
      <c r="S104" s="153"/>
      <c r="T104" s="154"/>
      <c r="U104" s="5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s="4" customFormat="1" x14ac:dyDescent="0.25">
      <c r="A105" s="2">
        <v>371</v>
      </c>
      <c r="B105" s="58">
        <v>37101</v>
      </c>
      <c r="C105" s="2" t="s">
        <v>197</v>
      </c>
      <c r="G105" s="146"/>
      <c r="H105" s="82"/>
      <c r="I105" s="82"/>
      <c r="J105" s="82"/>
      <c r="K105" s="82"/>
      <c r="L105" s="82"/>
      <c r="M105" s="82"/>
      <c r="N105" s="85"/>
      <c r="O105" s="85"/>
      <c r="P105" s="85"/>
      <c r="Q105" s="85"/>
      <c r="R105" s="85"/>
      <c r="S105" s="151"/>
      <c r="T105" s="152"/>
    </row>
    <row r="106" spans="1:31" s="4" customFormat="1" ht="13.8" thickBot="1" x14ac:dyDescent="0.3">
      <c r="B106" s="48"/>
      <c r="C106" s="4" t="s">
        <v>11</v>
      </c>
      <c r="D106" s="4">
        <v>2</v>
      </c>
      <c r="E106" s="5">
        <v>7000</v>
      </c>
      <c r="F106" s="5">
        <f>E106*D106</f>
        <v>14000</v>
      </c>
      <c r="G106" s="146"/>
      <c r="H106" s="182">
        <f>$E$106*0</f>
        <v>0</v>
      </c>
      <c r="I106" s="182">
        <f>$E$106*0</f>
        <v>0</v>
      </c>
      <c r="J106" s="182">
        <f>$E$106*1</f>
        <v>7000</v>
      </c>
      <c r="K106" s="182">
        <f t="shared" ref="K106:S106" si="73">$E$106*0</f>
        <v>0</v>
      </c>
      <c r="L106" s="182">
        <f>$E$106*1</f>
        <v>7000</v>
      </c>
      <c r="M106" s="182">
        <f>$E$106*0</f>
        <v>0</v>
      </c>
      <c r="N106" s="182">
        <f t="shared" si="73"/>
        <v>0</v>
      </c>
      <c r="O106" s="182">
        <f>$E$106*0</f>
        <v>0</v>
      </c>
      <c r="P106" s="182">
        <f>$E$106*0</f>
        <v>0</v>
      </c>
      <c r="Q106" s="182">
        <f t="shared" si="73"/>
        <v>0</v>
      </c>
      <c r="R106" s="182">
        <f>$E$106*0</f>
        <v>0</v>
      </c>
      <c r="S106" s="182">
        <f t="shared" si="73"/>
        <v>0</v>
      </c>
      <c r="T106" s="165">
        <f>SUM(H106:S106)</f>
        <v>14000</v>
      </c>
    </row>
    <row r="107" spans="1:31" s="10" customFormat="1" ht="16.2" thickBot="1" x14ac:dyDescent="0.35">
      <c r="A107" s="92"/>
      <c r="B107" s="92"/>
      <c r="C107" s="62"/>
      <c r="D107" s="265" t="s">
        <v>198</v>
      </c>
      <c r="E107" s="265"/>
      <c r="F107" s="266"/>
      <c r="G107" s="94">
        <f>SUM(F106:F106)</f>
        <v>14000</v>
      </c>
      <c r="H107" s="94">
        <f>SUM(H106)</f>
        <v>0</v>
      </c>
      <c r="I107" s="94">
        <f>SUM(I106)</f>
        <v>0</v>
      </c>
      <c r="J107" s="94">
        <f t="shared" ref="J107:R107" si="74">SUM(J106)</f>
        <v>7000</v>
      </c>
      <c r="K107" s="94">
        <f t="shared" si="74"/>
        <v>0</v>
      </c>
      <c r="L107" s="94">
        <f t="shared" si="74"/>
        <v>7000</v>
      </c>
      <c r="M107" s="94">
        <f t="shared" si="74"/>
        <v>0</v>
      </c>
      <c r="N107" s="94">
        <f t="shared" si="74"/>
        <v>0</v>
      </c>
      <c r="O107" s="94">
        <f t="shared" si="74"/>
        <v>0</v>
      </c>
      <c r="P107" s="94">
        <f t="shared" si="74"/>
        <v>0</v>
      </c>
      <c r="Q107" s="94">
        <f t="shared" si="74"/>
        <v>0</v>
      </c>
      <c r="R107" s="94">
        <f t="shared" si="74"/>
        <v>0</v>
      </c>
      <c r="S107" s="94">
        <f>SUM(S106)</f>
        <v>0</v>
      </c>
      <c r="T107" s="94">
        <f>SUM(T106)</f>
        <v>14000</v>
      </c>
      <c r="U107" s="14"/>
    </row>
    <row r="108" spans="1:31" x14ac:dyDescent="0.25">
      <c r="B108" s="48"/>
      <c r="G108" s="146"/>
      <c r="H108" s="183"/>
      <c r="I108" s="183"/>
      <c r="J108" s="183"/>
      <c r="K108" s="183"/>
      <c r="L108" s="183"/>
      <c r="M108" s="183"/>
      <c r="N108" s="81"/>
      <c r="O108" s="81"/>
      <c r="P108" s="81"/>
      <c r="Q108" s="81"/>
      <c r="R108" s="81"/>
      <c r="S108" s="153"/>
      <c r="T108" s="154"/>
      <c r="U108" s="5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s="4" customFormat="1" x14ac:dyDescent="0.25">
      <c r="A109" s="2">
        <v>372</v>
      </c>
      <c r="B109" s="58">
        <v>37201</v>
      </c>
      <c r="C109" s="2" t="s">
        <v>199</v>
      </c>
      <c r="G109" s="146"/>
      <c r="H109" s="82"/>
      <c r="I109" s="82"/>
      <c r="J109" s="82"/>
      <c r="K109" s="82"/>
      <c r="L109" s="82"/>
      <c r="M109" s="82"/>
      <c r="N109" s="85"/>
      <c r="O109" s="85"/>
      <c r="P109" s="85"/>
      <c r="Q109" s="85"/>
      <c r="R109" s="85"/>
      <c r="S109" s="151"/>
      <c r="T109" s="152"/>
    </row>
    <row r="110" spans="1:31" s="4" customFormat="1" x14ac:dyDescent="0.25">
      <c r="B110" s="48"/>
      <c r="C110" s="4" t="s">
        <v>362</v>
      </c>
      <c r="D110" s="4">
        <v>0</v>
      </c>
      <c r="E110" s="5">
        <v>420</v>
      </c>
      <c r="F110" s="5">
        <f>E110*D110</f>
        <v>0</v>
      </c>
      <c r="G110" s="146"/>
      <c r="H110" s="182">
        <f>$E$110*0</f>
        <v>0</v>
      </c>
      <c r="I110" s="182">
        <f t="shared" ref="I110:S110" si="75">$E$110*0</f>
        <v>0</v>
      </c>
      <c r="J110" s="182">
        <f t="shared" si="75"/>
        <v>0</v>
      </c>
      <c r="K110" s="182">
        <f>$E$110*0</f>
        <v>0</v>
      </c>
      <c r="L110" s="182">
        <f t="shared" si="75"/>
        <v>0</v>
      </c>
      <c r="M110" s="182">
        <f t="shared" si="75"/>
        <v>0</v>
      </c>
      <c r="N110" s="182">
        <f t="shared" si="75"/>
        <v>0</v>
      </c>
      <c r="O110" s="182">
        <f t="shared" si="75"/>
        <v>0</v>
      </c>
      <c r="P110" s="182">
        <f t="shared" si="75"/>
        <v>0</v>
      </c>
      <c r="Q110" s="182">
        <f t="shared" si="75"/>
        <v>0</v>
      </c>
      <c r="R110" s="182">
        <f t="shared" si="75"/>
        <v>0</v>
      </c>
      <c r="S110" s="182">
        <f t="shared" si="75"/>
        <v>0</v>
      </c>
      <c r="T110" s="165">
        <f>SUM(H110:S110)</f>
        <v>0</v>
      </c>
    </row>
    <row r="111" spans="1:31" s="4" customFormat="1" x14ac:dyDescent="0.25">
      <c r="B111" s="48"/>
      <c r="C111" s="4" t="s">
        <v>363</v>
      </c>
      <c r="D111" s="4">
        <v>0</v>
      </c>
      <c r="E111" s="5">
        <v>30</v>
      </c>
      <c r="F111" s="5">
        <f t="shared" ref="F111:F112" si="76">E111*D111</f>
        <v>0</v>
      </c>
      <c r="G111" s="146"/>
      <c r="H111" s="187">
        <f>$E$111*0</f>
        <v>0</v>
      </c>
      <c r="I111" s="85">
        <f t="shared" ref="I111:S111" si="77">$E$111*0</f>
        <v>0</v>
      </c>
      <c r="J111" s="85">
        <f t="shared" si="77"/>
        <v>0</v>
      </c>
      <c r="K111" s="85">
        <f>$E$111*0</f>
        <v>0</v>
      </c>
      <c r="L111" s="85">
        <f t="shared" si="77"/>
        <v>0</v>
      </c>
      <c r="M111" s="85">
        <f t="shared" si="77"/>
        <v>0</v>
      </c>
      <c r="N111" s="85">
        <f t="shared" si="77"/>
        <v>0</v>
      </c>
      <c r="O111" s="85">
        <f t="shared" si="77"/>
        <v>0</v>
      </c>
      <c r="P111" s="85">
        <f t="shared" si="77"/>
        <v>0</v>
      </c>
      <c r="Q111" s="85">
        <f t="shared" si="77"/>
        <v>0</v>
      </c>
      <c r="R111" s="85">
        <f t="shared" si="77"/>
        <v>0</v>
      </c>
      <c r="S111" s="151">
        <f t="shared" si="77"/>
        <v>0</v>
      </c>
      <c r="T111" s="152">
        <f>SUM(H111:S111)</f>
        <v>0</v>
      </c>
    </row>
    <row r="112" spans="1:31" s="4" customFormat="1" ht="13.8" thickBot="1" x14ac:dyDescent="0.3">
      <c r="B112" s="48"/>
      <c r="C112" s="4" t="s">
        <v>364</v>
      </c>
      <c r="D112" s="4">
        <v>0</v>
      </c>
      <c r="E112" s="5">
        <v>90</v>
      </c>
      <c r="F112" s="5">
        <f t="shared" si="76"/>
        <v>0</v>
      </c>
      <c r="G112" s="146"/>
      <c r="H112" s="189">
        <f>$E$112*0</f>
        <v>0</v>
      </c>
      <c r="I112" s="172">
        <f t="shared" ref="I112:S112" si="78">$E$112*0</f>
        <v>0</v>
      </c>
      <c r="J112" s="172">
        <f t="shared" si="78"/>
        <v>0</v>
      </c>
      <c r="K112" s="172">
        <f>$E$112*0</f>
        <v>0</v>
      </c>
      <c r="L112" s="172">
        <f t="shared" si="78"/>
        <v>0</v>
      </c>
      <c r="M112" s="172">
        <f t="shared" si="78"/>
        <v>0</v>
      </c>
      <c r="N112" s="172">
        <f>$E$112*0</f>
        <v>0</v>
      </c>
      <c r="O112" s="172">
        <f t="shared" si="78"/>
        <v>0</v>
      </c>
      <c r="P112" s="172">
        <f t="shared" si="78"/>
        <v>0</v>
      </c>
      <c r="Q112" s="172">
        <f t="shared" si="78"/>
        <v>0</v>
      </c>
      <c r="R112" s="172">
        <f t="shared" si="78"/>
        <v>0</v>
      </c>
      <c r="S112" s="171">
        <f t="shared" si="78"/>
        <v>0</v>
      </c>
      <c r="T112" s="192">
        <f>SUM(H112:S112)</f>
        <v>0</v>
      </c>
    </row>
    <row r="113" spans="1:31" s="10" customFormat="1" ht="16.2" thickBot="1" x14ac:dyDescent="0.35">
      <c r="A113" s="92"/>
      <c r="B113" s="92"/>
      <c r="C113" s="264" t="s">
        <v>200</v>
      </c>
      <c r="D113" s="265"/>
      <c r="E113" s="265"/>
      <c r="F113" s="266"/>
      <c r="G113" s="94">
        <f>SUM(F110:F112)</f>
        <v>0</v>
      </c>
      <c r="H113" s="94">
        <f>SUM(H110:H112)</f>
        <v>0</v>
      </c>
      <c r="I113" s="94">
        <f t="shared" ref="I113:S113" si="79">SUM(I110:I112)</f>
        <v>0</v>
      </c>
      <c r="J113" s="94">
        <f t="shared" si="79"/>
        <v>0</v>
      </c>
      <c r="K113" s="94">
        <f t="shared" si="79"/>
        <v>0</v>
      </c>
      <c r="L113" s="94">
        <f t="shared" si="79"/>
        <v>0</v>
      </c>
      <c r="M113" s="94">
        <f t="shared" si="79"/>
        <v>0</v>
      </c>
      <c r="N113" s="94">
        <f t="shared" si="79"/>
        <v>0</v>
      </c>
      <c r="O113" s="94">
        <f t="shared" si="79"/>
        <v>0</v>
      </c>
      <c r="P113" s="94">
        <f t="shared" si="79"/>
        <v>0</v>
      </c>
      <c r="Q113" s="94">
        <f t="shared" si="79"/>
        <v>0</v>
      </c>
      <c r="R113" s="94">
        <f t="shared" si="79"/>
        <v>0</v>
      </c>
      <c r="S113" s="94">
        <f t="shared" si="79"/>
        <v>0</v>
      </c>
      <c r="T113" s="94">
        <f>SUM(T110:T112)</f>
        <v>0</v>
      </c>
      <c r="U113" s="14"/>
    </row>
    <row r="114" spans="1:31" x14ac:dyDescent="0.25">
      <c r="B114" s="48"/>
      <c r="G114" s="146"/>
      <c r="H114" s="183"/>
      <c r="I114" s="183"/>
      <c r="J114" s="183"/>
      <c r="K114" s="183"/>
      <c r="L114" s="183"/>
      <c r="M114" s="183"/>
      <c r="N114" s="81"/>
      <c r="O114" s="81"/>
      <c r="P114" s="81"/>
      <c r="Q114" s="81"/>
      <c r="R114" s="81"/>
      <c r="S114" s="153"/>
      <c r="T114" s="154"/>
      <c r="U114" s="5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s="4" customFormat="1" x14ac:dyDescent="0.25">
      <c r="A115" s="2">
        <v>375</v>
      </c>
      <c r="B115" s="58">
        <v>37501</v>
      </c>
      <c r="C115" s="2" t="s">
        <v>201</v>
      </c>
      <c r="G115" s="146"/>
      <c r="H115" s="82"/>
      <c r="I115" s="82"/>
      <c r="J115" s="82"/>
      <c r="K115" s="82"/>
      <c r="L115" s="82"/>
      <c r="M115" s="82"/>
      <c r="N115" s="85"/>
      <c r="O115" s="85"/>
      <c r="P115" s="85"/>
      <c r="Q115" s="85"/>
      <c r="R115" s="85"/>
      <c r="S115" s="151"/>
      <c r="T115" s="152"/>
    </row>
    <row r="116" spans="1:31" s="4" customFormat="1" ht="13.8" thickBot="1" x14ac:dyDescent="0.3">
      <c r="B116" s="48"/>
      <c r="C116" s="4" t="s">
        <v>12</v>
      </c>
      <c r="D116" s="4">
        <v>2</v>
      </c>
      <c r="E116" s="5">
        <v>2000</v>
      </c>
      <c r="F116" s="5">
        <f>E116*D116</f>
        <v>4000</v>
      </c>
      <c r="G116" s="146"/>
      <c r="H116" s="182">
        <f>$E$116*0</f>
        <v>0</v>
      </c>
      <c r="I116" s="182">
        <f t="shared" ref="I116:S116" si="80">$E$116*0</f>
        <v>0</v>
      </c>
      <c r="J116" s="182">
        <f>$E$116*1</f>
        <v>2000</v>
      </c>
      <c r="K116" s="182">
        <f t="shared" si="80"/>
        <v>0</v>
      </c>
      <c r="L116" s="182">
        <f>$E$116*1</f>
        <v>2000</v>
      </c>
      <c r="M116" s="182">
        <f>$E$116*0</f>
        <v>0</v>
      </c>
      <c r="N116" s="182">
        <f t="shared" si="80"/>
        <v>0</v>
      </c>
      <c r="O116" s="182">
        <f t="shared" si="80"/>
        <v>0</v>
      </c>
      <c r="P116" s="182">
        <f>$E$116*0</f>
        <v>0</v>
      </c>
      <c r="Q116" s="182">
        <f t="shared" si="80"/>
        <v>0</v>
      </c>
      <c r="R116" s="182">
        <f t="shared" si="80"/>
        <v>0</v>
      </c>
      <c r="S116" s="182">
        <f t="shared" si="80"/>
        <v>0</v>
      </c>
      <c r="T116" s="165">
        <f>SUM(H116:S116)</f>
        <v>4000</v>
      </c>
    </row>
    <row r="117" spans="1:31" s="10" customFormat="1" ht="16.2" thickBot="1" x14ac:dyDescent="0.35">
      <c r="A117" s="92"/>
      <c r="B117" s="92"/>
      <c r="C117" s="264" t="s">
        <v>202</v>
      </c>
      <c r="D117" s="265"/>
      <c r="E117" s="265"/>
      <c r="F117" s="266"/>
      <c r="G117" s="94">
        <f>SUM(F116:F116)</f>
        <v>4000</v>
      </c>
      <c r="H117" s="94">
        <f>SUM(H116)</f>
        <v>0</v>
      </c>
      <c r="I117" s="94">
        <f t="shared" ref="I117:S117" si="81">SUM(I116)</f>
        <v>0</v>
      </c>
      <c r="J117" s="94">
        <f t="shared" si="81"/>
        <v>2000</v>
      </c>
      <c r="K117" s="94">
        <f t="shared" si="81"/>
        <v>0</v>
      </c>
      <c r="L117" s="94">
        <f t="shared" si="81"/>
        <v>2000</v>
      </c>
      <c r="M117" s="94">
        <f t="shared" si="81"/>
        <v>0</v>
      </c>
      <c r="N117" s="94">
        <f t="shared" si="81"/>
        <v>0</v>
      </c>
      <c r="O117" s="94">
        <f t="shared" si="81"/>
        <v>0</v>
      </c>
      <c r="P117" s="94">
        <f t="shared" si="81"/>
        <v>0</v>
      </c>
      <c r="Q117" s="94">
        <f t="shared" si="81"/>
        <v>0</v>
      </c>
      <c r="R117" s="94">
        <f t="shared" si="81"/>
        <v>0</v>
      </c>
      <c r="S117" s="94">
        <f t="shared" si="81"/>
        <v>0</v>
      </c>
      <c r="T117" s="94">
        <f>SUM(T116)</f>
        <v>4000</v>
      </c>
      <c r="U117" s="14"/>
    </row>
    <row r="118" spans="1:31" x14ac:dyDescent="0.25">
      <c r="B118" s="48"/>
      <c r="G118" s="146"/>
      <c r="H118" s="183"/>
      <c r="I118" s="183"/>
      <c r="J118" s="183"/>
      <c r="K118" s="183"/>
      <c r="L118" s="183"/>
      <c r="M118" s="183"/>
      <c r="N118" s="81"/>
      <c r="O118" s="81"/>
      <c r="P118" s="81"/>
      <c r="Q118" s="81"/>
      <c r="R118" s="81"/>
      <c r="S118" s="153"/>
      <c r="T118" s="154"/>
      <c r="U118" s="5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s="4" customFormat="1" x14ac:dyDescent="0.25">
      <c r="A119" s="2">
        <v>375</v>
      </c>
      <c r="B119" s="58">
        <v>37502</v>
      </c>
      <c r="C119" s="2" t="s">
        <v>203</v>
      </c>
      <c r="G119" s="146"/>
      <c r="H119" s="82"/>
      <c r="I119" s="82"/>
      <c r="J119" s="82"/>
      <c r="K119" s="82"/>
      <c r="L119" s="82"/>
      <c r="M119" s="82"/>
      <c r="N119" s="85"/>
      <c r="O119" s="85"/>
      <c r="P119" s="85"/>
      <c r="Q119" s="85"/>
      <c r="R119" s="85"/>
      <c r="S119" s="151"/>
      <c r="T119" s="152"/>
    </row>
    <row r="120" spans="1:31" s="4" customFormat="1" ht="13.8" thickBot="1" x14ac:dyDescent="0.3">
      <c r="B120" s="48"/>
      <c r="C120" s="4" t="s">
        <v>12</v>
      </c>
      <c r="D120" s="4">
        <v>0</v>
      </c>
      <c r="E120" s="5">
        <v>0</v>
      </c>
      <c r="F120" s="5">
        <f>E120*D120</f>
        <v>0</v>
      </c>
      <c r="G120" s="146"/>
      <c r="H120" s="182">
        <f>$E$120*1</f>
        <v>0</v>
      </c>
      <c r="I120" s="182">
        <f>$E$120*1</f>
        <v>0</v>
      </c>
      <c r="J120" s="182">
        <f>$E$120*1</f>
        <v>0</v>
      </c>
      <c r="K120" s="182">
        <f>$E$120*1</f>
        <v>0</v>
      </c>
      <c r="L120" s="182">
        <f>$E$120*0</f>
        <v>0</v>
      </c>
      <c r="M120" s="182">
        <f>$E$120*1</f>
        <v>0</v>
      </c>
      <c r="N120" s="182">
        <f>$E$120*0</f>
        <v>0</v>
      </c>
      <c r="O120" s="182">
        <f>$E$120*0</f>
        <v>0</v>
      </c>
      <c r="P120" s="182">
        <f>$E$120*0</f>
        <v>0</v>
      </c>
      <c r="Q120" s="182">
        <f>$E$120*0</f>
        <v>0</v>
      </c>
      <c r="R120" s="182">
        <f>$E$120*0</f>
        <v>0</v>
      </c>
      <c r="S120" s="182">
        <f>$E$116*0</f>
        <v>0</v>
      </c>
      <c r="T120" s="165">
        <f>SUM(H120:S120)</f>
        <v>0</v>
      </c>
    </row>
    <row r="121" spans="1:31" s="10" customFormat="1" ht="16.2" thickBot="1" x14ac:dyDescent="0.35">
      <c r="A121" s="92"/>
      <c r="B121" s="92"/>
      <c r="C121" s="62"/>
      <c r="D121" s="265" t="s">
        <v>206</v>
      </c>
      <c r="E121" s="265"/>
      <c r="F121" s="266"/>
      <c r="G121" s="94">
        <f>SUM(F120:F120)</f>
        <v>0</v>
      </c>
      <c r="H121" s="94">
        <f>SUM(H120)</f>
        <v>0</v>
      </c>
      <c r="I121" s="94">
        <f t="shared" ref="I121:S121" si="82">SUM(I120)</f>
        <v>0</v>
      </c>
      <c r="J121" s="94">
        <f t="shared" si="82"/>
        <v>0</v>
      </c>
      <c r="K121" s="94">
        <f t="shared" si="82"/>
        <v>0</v>
      </c>
      <c r="L121" s="94">
        <f t="shared" si="82"/>
        <v>0</v>
      </c>
      <c r="M121" s="94">
        <f t="shared" si="82"/>
        <v>0</v>
      </c>
      <c r="N121" s="94">
        <f t="shared" si="82"/>
        <v>0</v>
      </c>
      <c r="O121" s="94">
        <f t="shared" si="82"/>
        <v>0</v>
      </c>
      <c r="P121" s="94">
        <f t="shared" si="82"/>
        <v>0</v>
      </c>
      <c r="Q121" s="94">
        <f t="shared" si="82"/>
        <v>0</v>
      </c>
      <c r="R121" s="94">
        <f t="shared" si="82"/>
        <v>0</v>
      </c>
      <c r="S121" s="94">
        <f t="shared" si="82"/>
        <v>0</v>
      </c>
      <c r="T121" s="94">
        <f>SUM(T120)</f>
        <v>0</v>
      </c>
      <c r="U121" s="14"/>
    </row>
    <row r="122" spans="1:31" x14ac:dyDescent="0.25">
      <c r="B122" s="48"/>
      <c r="G122" s="146"/>
      <c r="H122" s="183"/>
      <c r="I122" s="183"/>
      <c r="J122" s="183"/>
      <c r="K122" s="183"/>
      <c r="L122" s="183"/>
      <c r="M122" s="183"/>
      <c r="N122" s="81"/>
      <c r="O122" s="81"/>
      <c r="P122" s="81"/>
      <c r="Q122" s="81"/>
      <c r="R122" s="81"/>
      <c r="S122" s="153"/>
      <c r="T122" s="154"/>
      <c r="U122" s="5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s="4" customFormat="1" x14ac:dyDescent="0.25">
      <c r="A123" s="2">
        <v>376</v>
      </c>
      <c r="B123" s="58">
        <v>37601</v>
      </c>
      <c r="C123" s="2" t="s">
        <v>204</v>
      </c>
      <c r="G123" s="146"/>
      <c r="H123" s="82"/>
      <c r="I123" s="82"/>
      <c r="J123" s="82"/>
      <c r="K123" s="82"/>
      <c r="L123" s="82"/>
      <c r="M123" s="82"/>
      <c r="N123" s="85"/>
      <c r="O123" s="85"/>
      <c r="P123" s="85"/>
      <c r="Q123" s="85"/>
      <c r="R123" s="85"/>
      <c r="S123" s="151"/>
      <c r="T123" s="152"/>
    </row>
    <row r="124" spans="1:31" s="4" customFormat="1" ht="13.8" thickBot="1" x14ac:dyDescent="0.3">
      <c r="B124" s="48"/>
      <c r="C124" s="4" t="s">
        <v>12</v>
      </c>
      <c r="D124" s="4">
        <v>0</v>
      </c>
      <c r="E124" s="5">
        <v>0</v>
      </c>
      <c r="F124" s="5">
        <f>E124*D124</f>
        <v>0</v>
      </c>
      <c r="G124" s="146"/>
      <c r="H124" s="182">
        <f>$E$124*0</f>
        <v>0</v>
      </c>
      <c r="I124" s="182">
        <f t="shared" ref="I124:S124" si="83">$E$124*0</f>
        <v>0</v>
      </c>
      <c r="J124" s="182">
        <f t="shared" si="83"/>
        <v>0</v>
      </c>
      <c r="K124" s="182">
        <f t="shared" si="83"/>
        <v>0</v>
      </c>
      <c r="L124" s="182">
        <f t="shared" si="83"/>
        <v>0</v>
      </c>
      <c r="M124" s="182">
        <f t="shared" si="83"/>
        <v>0</v>
      </c>
      <c r="N124" s="182">
        <f t="shared" si="83"/>
        <v>0</v>
      </c>
      <c r="O124" s="182">
        <f t="shared" si="83"/>
        <v>0</v>
      </c>
      <c r="P124" s="182">
        <f t="shared" si="83"/>
        <v>0</v>
      </c>
      <c r="Q124" s="182">
        <f t="shared" si="83"/>
        <v>0</v>
      </c>
      <c r="R124" s="182">
        <f t="shared" si="83"/>
        <v>0</v>
      </c>
      <c r="S124" s="182">
        <f t="shared" si="83"/>
        <v>0</v>
      </c>
      <c r="T124" s="165">
        <f>SUM(H124:S124)</f>
        <v>0</v>
      </c>
    </row>
    <row r="125" spans="1:31" s="10" customFormat="1" ht="16.2" thickBot="1" x14ac:dyDescent="0.35">
      <c r="A125" s="92"/>
      <c r="B125" s="92"/>
      <c r="C125" s="264" t="s">
        <v>205</v>
      </c>
      <c r="D125" s="265"/>
      <c r="E125" s="265"/>
      <c r="F125" s="266"/>
      <c r="G125" s="94">
        <f>SUM(F124:F124)</f>
        <v>0</v>
      </c>
      <c r="H125" s="94">
        <f>SUM(H124)</f>
        <v>0</v>
      </c>
      <c r="I125" s="94">
        <f t="shared" ref="I125:S125" si="84">SUM(I124)</f>
        <v>0</v>
      </c>
      <c r="J125" s="94">
        <f t="shared" si="84"/>
        <v>0</v>
      </c>
      <c r="K125" s="94">
        <f t="shared" si="84"/>
        <v>0</v>
      </c>
      <c r="L125" s="94">
        <f t="shared" si="84"/>
        <v>0</v>
      </c>
      <c r="M125" s="94">
        <f t="shared" si="84"/>
        <v>0</v>
      </c>
      <c r="N125" s="94">
        <f t="shared" si="84"/>
        <v>0</v>
      </c>
      <c r="O125" s="94">
        <f t="shared" si="84"/>
        <v>0</v>
      </c>
      <c r="P125" s="94">
        <f t="shared" si="84"/>
        <v>0</v>
      </c>
      <c r="Q125" s="94">
        <f t="shared" si="84"/>
        <v>0</v>
      </c>
      <c r="R125" s="94">
        <f t="shared" si="84"/>
        <v>0</v>
      </c>
      <c r="S125" s="94">
        <f t="shared" si="84"/>
        <v>0</v>
      </c>
      <c r="T125" s="94">
        <f>SUM(T124)</f>
        <v>0</v>
      </c>
      <c r="U125" s="14"/>
    </row>
    <row r="126" spans="1:31" x14ac:dyDescent="0.25">
      <c r="B126" s="58">
        <v>37901</v>
      </c>
      <c r="G126" s="146"/>
      <c r="H126" s="183"/>
      <c r="I126" s="183"/>
      <c r="J126" s="183"/>
      <c r="K126" s="183"/>
      <c r="L126" s="183"/>
      <c r="M126" s="183"/>
      <c r="N126" s="81"/>
      <c r="O126" s="81"/>
      <c r="P126" s="81"/>
      <c r="Q126" s="81"/>
      <c r="R126" s="81"/>
      <c r="S126" s="153"/>
      <c r="T126" s="154"/>
      <c r="U126" s="5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s="4" customFormat="1" x14ac:dyDescent="0.25">
      <c r="A127" s="150">
        <v>379</v>
      </c>
      <c r="C127" s="2" t="s">
        <v>143</v>
      </c>
      <c r="G127" s="146"/>
      <c r="H127" s="187"/>
      <c r="I127" s="82"/>
      <c r="J127" s="82"/>
      <c r="K127" s="82"/>
      <c r="L127" s="82"/>
      <c r="M127" s="82"/>
      <c r="N127" s="85"/>
      <c r="O127" s="85"/>
      <c r="P127" s="85"/>
      <c r="Q127" s="82"/>
      <c r="R127" s="85"/>
      <c r="S127" s="151"/>
      <c r="T127" s="152"/>
    </row>
    <row r="128" spans="1:31" s="4" customFormat="1" x14ac:dyDescent="0.25">
      <c r="B128" s="58"/>
      <c r="C128" s="4" t="s">
        <v>337</v>
      </c>
      <c r="D128" s="4">
        <v>4</v>
      </c>
      <c r="E128" s="5">
        <v>500</v>
      </c>
      <c r="F128" s="5">
        <f>E128*D128</f>
        <v>2000</v>
      </c>
      <c r="G128" s="146"/>
      <c r="H128" s="82">
        <f>$E$128*0</f>
        <v>0</v>
      </c>
      <c r="I128" s="82">
        <f>$E$128*2</f>
        <v>1000</v>
      </c>
      <c r="J128" s="82">
        <f t="shared" ref="J128:R128" si="85">$E$128*0</f>
        <v>0</v>
      </c>
      <c r="K128" s="82">
        <f>$E$128*2</f>
        <v>1000</v>
      </c>
      <c r="L128" s="82">
        <f t="shared" si="85"/>
        <v>0</v>
      </c>
      <c r="M128" s="82">
        <f t="shared" si="85"/>
        <v>0</v>
      </c>
      <c r="N128" s="82">
        <f t="shared" si="85"/>
        <v>0</v>
      </c>
      <c r="O128" s="82">
        <f t="shared" si="85"/>
        <v>0</v>
      </c>
      <c r="P128" s="82">
        <f t="shared" si="85"/>
        <v>0</v>
      </c>
      <c r="Q128" s="82">
        <f t="shared" si="85"/>
        <v>0</v>
      </c>
      <c r="R128" s="82">
        <f t="shared" si="85"/>
        <v>0</v>
      </c>
      <c r="S128" s="82">
        <f t="shared" ref="S128" si="86">$E$128*0</f>
        <v>0</v>
      </c>
      <c r="T128" s="152">
        <f>SUM(H128:S128)</f>
        <v>2000</v>
      </c>
    </row>
    <row r="129" spans="1:31" s="4" customFormat="1" ht="13.8" thickBot="1" x14ac:dyDescent="0.3">
      <c r="B129" s="58"/>
      <c r="C129" s="4" t="s">
        <v>428</v>
      </c>
      <c r="D129" s="4">
        <v>5</v>
      </c>
      <c r="E129" s="5">
        <v>20000</v>
      </c>
      <c r="F129" s="5">
        <f>E129*D129</f>
        <v>100000</v>
      </c>
      <c r="G129" s="146"/>
      <c r="H129" s="182">
        <f>$E$129*5</f>
        <v>100000</v>
      </c>
      <c r="I129" s="182">
        <f>$E$129*0</f>
        <v>0</v>
      </c>
      <c r="J129" s="182">
        <f t="shared" ref="J129:Q129" si="87">$E$129*0</f>
        <v>0</v>
      </c>
      <c r="K129" s="182">
        <f t="shared" si="87"/>
        <v>0</v>
      </c>
      <c r="L129" s="182">
        <f t="shared" si="87"/>
        <v>0</v>
      </c>
      <c r="M129" s="182">
        <f t="shared" si="87"/>
        <v>0</v>
      </c>
      <c r="N129" s="182">
        <f t="shared" si="87"/>
        <v>0</v>
      </c>
      <c r="O129" s="182">
        <f t="shared" si="87"/>
        <v>0</v>
      </c>
      <c r="P129" s="182">
        <f t="shared" si="87"/>
        <v>0</v>
      </c>
      <c r="Q129" s="182">
        <f t="shared" si="87"/>
        <v>0</v>
      </c>
      <c r="R129" s="182">
        <f t="shared" ref="R129:S129" si="88">$E$129*0</f>
        <v>0</v>
      </c>
      <c r="S129" s="182">
        <f t="shared" si="88"/>
        <v>0</v>
      </c>
      <c r="T129" s="165">
        <f>SUM(H129:S129)</f>
        <v>100000</v>
      </c>
    </row>
    <row r="130" spans="1:31" s="10" customFormat="1" ht="16.2" thickBot="1" x14ac:dyDescent="0.35">
      <c r="A130" s="92"/>
      <c r="B130" s="92"/>
      <c r="C130" s="264" t="s">
        <v>207</v>
      </c>
      <c r="D130" s="265"/>
      <c r="E130" s="265"/>
      <c r="F130" s="266"/>
      <c r="G130" s="94">
        <f>SUM(F128:F129)</f>
        <v>102000</v>
      </c>
      <c r="H130" s="94">
        <f t="shared" ref="H130:T130" si="89">SUM(H128:H129)</f>
        <v>100000</v>
      </c>
      <c r="I130" s="94">
        <f t="shared" si="89"/>
        <v>1000</v>
      </c>
      <c r="J130" s="94">
        <f t="shared" si="89"/>
        <v>0</v>
      </c>
      <c r="K130" s="94">
        <f t="shared" si="89"/>
        <v>1000</v>
      </c>
      <c r="L130" s="94">
        <f t="shared" si="89"/>
        <v>0</v>
      </c>
      <c r="M130" s="94">
        <f t="shared" si="89"/>
        <v>0</v>
      </c>
      <c r="N130" s="94">
        <f t="shared" si="89"/>
        <v>0</v>
      </c>
      <c r="O130" s="94">
        <f t="shared" si="89"/>
        <v>0</v>
      </c>
      <c r="P130" s="94">
        <f t="shared" si="89"/>
        <v>0</v>
      </c>
      <c r="Q130" s="94">
        <f t="shared" si="89"/>
        <v>0</v>
      </c>
      <c r="R130" s="94">
        <f t="shared" si="89"/>
        <v>0</v>
      </c>
      <c r="S130" s="94">
        <f t="shared" si="89"/>
        <v>0</v>
      </c>
      <c r="T130" s="94">
        <f t="shared" si="89"/>
        <v>102000</v>
      </c>
      <c r="U130" s="14"/>
    </row>
    <row r="131" spans="1:31" x14ac:dyDescent="0.25">
      <c r="B131" s="48"/>
      <c r="F131" s="162"/>
      <c r="G131" s="161"/>
      <c r="H131" s="186"/>
      <c r="I131" s="186"/>
      <c r="J131" s="186"/>
      <c r="K131" s="186"/>
      <c r="L131" s="186"/>
      <c r="M131" s="186"/>
      <c r="N131" s="159"/>
      <c r="O131" s="159"/>
      <c r="P131" s="159"/>
      <c r="Q131" s="159"/>
      <c r="R131" s="159"/>
      <c r="S131" s="160"/>
      <c r="T131" s="154"/>
      <c r="U131" s="5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s="4" customFormat="1" x14ac:dyDescent="0.25">
      <c r="A132" s="2">
        <v>381</v>
      </c>
      <c r="B132" s="58">
        <v>38101</v>
      </c>
      <c r="C132" s="2" t="s">
        <v>245</v>
      </c>
      <c r="D132" s="2"/>
      <c r="G132" s="146"/>
      <c r="H132" s="82"/>
      <c r="I132" s="82"/>
      <c r="J132" s="82"/>
      <c r="K132" s="82"/>
      <c r="L132" s="82"/>
      <c r="M132" s="82"/>
      <c r="N132" s="85"/>
      <c r="O132" s="85"/>
      <c r="P132" s="85"/>
      <c r="Q132" s="85"/>
      <c r="R132" s="85"/>
      <c r="S132" s="151"/>
      <c r="T132" s="152"/>
    </row>
    <row r="133" spans="1:31" s="4" customFormat="1" x14ac:dyDescent="0.25">
      <c r="B133" s="48"/>
      <c r="C133" s="4" t="s">
        <v>381</v>
      </c>
      <c r="D133" s="4">
        <v>1</v>
      </c>
      <c r="E133" s="5">
        <v>2000</v>
      </c>
      <c r="F133" s="5">
        <f>E133*D133</f>
        <v>2000</v>
      </c>
      <c r="G133" s="146"/>
      <c r="H133" s="182">
        <f>$E$133*1</f>
        <v>2000</v>
      </c>
      <c r="I133" s="182">
        <f t="shared" ref="I133:S133" si="90">$E$133*0</f>
        <v>0</v>
      </c>
      <c r="J133" s="182">
        <f t="shared" si="90"/>
        <v>0</v>
      </c>
      <c r="K133" s="182">
        <f>$E$133*0</f>
        <v>0</v>
      </c>
      <c r="L133" s="182">
        <f t="shared" si="90"/>
        <v>0</v>
      </c>
      <c r="M133" s="182">
        <f>$E$133*0</f>
        <v>0</v>
      </c>
      <c r="N133" s="182">
        <f>$E$133*0</f>
        <v>0</v>
      </c>
      <c r="O133" s="182">
        <f>$E$133*0</f>
        <v>0</v>
      </c>
      <c r="P133" s="182">
        <f>$E$133*0</f>
        <v>0</v>
      </c>
      <c r="Q133" s="182">
        <f t="shared" si="90"/>
        <v>0</v>
      </c>
      <c r="R133" s="182">
        <f t="shared" si="90"/>
        <v>0</v>
      </c>
      <c r="S133" s="182">
        <f t="shared" si="90"/>
        <v>0</v>
      </c>
      <c r="T133" s="165">
        <f>SUM(H133:S133)</f>
        <v>2000</v>
      </c>
    </row>
    <row r="134" spans="1:31" s="4" customFormat="1" x14ac:dyDescent="0.25">
      <c r="B134" s="48"/>
      <c r="D134" s="4">
        <v>0</v>
      </c>
      <c r="E134" s="5">
        <v>2000</v>
      </c>
      <c r="F134" s="5">
        <f t="shared" ref="F134:F135" si="91">E134*D134</f>
        <v>0</v>
      </c>
      <c r="G134" s="146"/>
      <c r="H134" s="182">
        <f>$E$134*0</f>
        <v>0</v>
      </c>
      <c r="I134" s="85">
        <f>$E$134*0</f>
        <v>0</v>
      </c>
      <c r="J134" s="85">
        <f t="shared" ref="J134:S134" si="92">$E$134*0</f>
        <v>0</v>
      </c>
      <c r="K134" s="85">
        <f>$E$134*0</f>
        <v>0</v>
      </c>
      <c r="L134" s="85">
        <f t="shared" si="92"/>
        <v>0</v>
      </c>
      <c r="M134" s="85">
        <f t="shared" si="92"/>
        <v>0</v>
      </c>
      <c r="N134" s="85">
        <f>$E$134*0</f>
        <v>0</v>
      </c>
      <c r="O134" s="85">
        <f t="shared" si="92"/>
        <v>0</v>
      </c>
      <c r="P134" s="85">
        <f t="shared" si="92"/>
        <v>0</v>
      </c>
      <c r="Q134" s="85">
        <f t="shared" si="92"/>
        <v>0</v>
      </c>
      <c r="R134" s="85">
        <f t="shared" si="92"/>
        <v>0</v>
      </c>
      <c r="S134" s="83">
        <f t="shared" si="92"/>
        <v>0</v>
      </c>
      <c r="T134" s="152">
        <f t="shared" ref="T134:T135" si="93">SUM(H134:S134)</f>
        <v>0</v>
      </c>
    </row>
    <row r="135" spans="1:31" s="4" customFormat="1" ht="13.8" thickBot="1" x14ac:dyDescent="0.3">
      <c r="B135" s="48"/>
      <c r="C135" s="4" t="s">
        <v>382</v>
      </c>
      <c r="D135" s="4">
        <v>3</v>
      </c>
      <c r="E135" s="5">
        <v>2000</v>
      </c>
      <c r="F135" s="5">
        <f t="shared" si="91"/>
        <v>6000</v>
      </c>
      <c r="G135" s="146"/>
      <c r="H135" s="189">
        <f>$E$135*1</f>
        <v>2000</v>
      </c>
      <c r="I135" s="172">
        <f>$E$135*0</f>
        <v>0</v>
      </c>
      <c r="J135" s="172">
        <f t="shared" ref="J135" si="94">$E$135*1</f>
        <v>2000</v>
      </c>
      <c r="K135" s="172">
        <f>$E$135*0</f>
        <v>0</v>
      </c>
      <c r="L135" s="172">
        <f>$E$135*0</f>
        <v>0</v>
      </c>
      <c r="M135" s="172">
        <f>$E$135*1</f>
        <v>2000</v>
      </c>
      <c r="N135" s="172">
        <f t="shared" ref="N135:S135" si="95">$E$135*0</f>
        <v>0</v>
      </c>
      <c r="O135" s="172">
        <f t="shared" si="95"/>
        <v>0</v>
      </c>
      <c r="P135" s="172">
        <f t="shared" si="95"/>
        <v>0</v>
      </c>
      <c r="Q135" s="172">
        <f t="shared" si="95"/>
        <v>0</v>
      </c>
      <c r="R135" s="172">
        <f t="shared" si="95"/>
        <v>0</v>
      </c>
      <c r="S135" s="173">
        <f t="shared" si="95"/>
        <v>0</v>
      </c>
      <c r="T135" s="192">
        <f t="shared" si="93"/>
        <v>6000</v>
      </c>
    </row>
    <row r="136" spans="1:31" s="10" customFormat="1" ht="16.2" thickBot="1" x14ac:dyDescent="0.35">
      <c r="A136" s="92"/>
      <c r="B136" s="92"/>
      <c r="C136" s="264" t="s">
        <v>246</v>
      </c>
      <c r="D136" s="265"/>
      <c r="E136" s="265"/>
      <c r="F136" s="266"/>
      <c r="G136" s="94">
        <f>SUM(F133:F135)</f>
        <v>8000</v>
      </c>
      <c r="H136" s="94">
        <f>SUM(H133:H135)</f>
        <v>4000</v>
      </c>
      <c r="I136" s="94">
        <f t="shared" ref="I136:S136" si="96">SUM(I133:I135)</f>
        <v>0</v>
      </c>
      <c r="J136" s="94">
        <f t="shared" si="96"/>
        <v>2000</v>
      </c>
      <c r="K136" s="94">
        <f t="shared" si="96"/>
        <v>0</v>
      </c>
      <c r="L136" s="94">
        <f t="shared" si="96"/>
        <v>0</v>
      </c>
      <c r="M136" s="94">
        <f t="shared" si="96"/>
        <v>2000</v>
      </c>
      <c r="N136" s="94">
        <f t="shared" si="96"/>
        <v>0</v>
      </c>
      <c r="O136" s="94">
        <f t="shared" si="96"/>
        <v>0</v>
      </c>
      <c r="P136" s="94">
        <f t="shared" si="96"/>
        <v>0</v>
      </c>
      <c r="Q136" s="94">
        <f t="shared" si="96"/>
        <v>0</v>
      </c>
      <c r="R136" s="94">
        <f t="shared" si="96"/>
        <v>0</v>
      </c>
      <c r="S136" s="94">
        <f t="shared" si="96"/>
        <v>0</v>
      </c>
      <c r="T136" s="94">
        <f>SUM(T133:T135)</f>
        <v>8000</v>
      </c>
      <c r="U136" s="14"/>
    </row>
    <row r="137" spans="1:31" x14ac:dyDescent="0.25">
      <c r="B137" s="48"/>
      <c r="F137" s="162"/>
      <c r="G137" s="161"/>
      <c r="H137" s="186"/>
      <c r="I137" s="186"/>
      <c r="J137" s="186"/>
      <c r="K137" s="186"/>
      <c r="L137" s="186"/>
      <c r="M137" s="186"/>
      <c r="N137" s="159"/>
      <c r="O137" s="159"/>
      <c r="P137" s="159"/>
      <c r="Q137" s="159"/>
      <c r="R137" s="159"/>
      <c r="S137" s="160"/>
      <c r="T137" s="154"/>
      <c r="U137" s="5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s="4" customFormat="1" x14ac:dyDescent="0.25">
      <c r="A138" s="2">
        <v>383</v>
      </c>
      <c r="B138" s="58">
        <v>38301</v>
      </c>
      <c r="C138" s="2" t="s">
        <v>211</v>
      </c>
      <c r="G138" s="146"/>
      <c r="H138" s="82"/>
      <c r="I138" s="82"/>
      <c r="J138" s="82"/>
      <c r="K138" s="82"/>
      <c r="L138" s="82"/>
      <c r="M138" s="82"/>
      <c r="N138" s="85"/>
      <c r="O138" s="85"/>
      <c r="P138" s="85"/>
      <c r="Q138" s="85"/>
      <c r="R138" s="85"/>
      <c r="S138" s="151"/>
      <c r="T138" s="152"/>
    </row>
    <row r="139" spans="1:31" s="4" customFormat="1" x14ac:dyDescent="0.25">
      <c r="B139" s="48"/>
      <c r="C139" s="4" t="s">
        <v>184</v>
      </c>
      <c r="D139" s="4">
        <v>0</v>
      </c>
      <c r="E139" s="5">
        <v>0</v>
      </c>
      <c r="F139" s="5">
        <f>E139*D139</f>
        <v>0</v>
      </c>
      <c r="G139" s="146"/>
      <c r="H139" s="82">
        <f>$E$139*0</f>
        <v>0</v>
      </c>
      <c r="I139" s="82">
        <f t="shared" ref="I139:J139" si="97">$E$139*0</f>
        <v>0</v>
      </c>
      <c r="J139" s="82">
        <f t="shared" si="97"/>
        <v>0</v>
      </c>
      <c r="K139" s="82">
        <f t="shared" ref="K139:M139" si="98">$E$139*0</f>
        <v>0</v>
      </c>
      <c r="L139" s="82">
        <f t="shared" si="98"/>
        <v>0</v>
      </c>
      <c r="M139" s="82">
        <f t="shared" si="98"/>
        <v>0</v>
      </c>
      <c r="N139" s="82">
        <f t="shared" ref="N139:S139" si="99">$E$139*0</f>
        <v>0</v>
      </c>
      <c r="O139" s="82">
        <f t="shared" si="99"/>
        <v>0</v>
      </c>
      <c r="P139" s="82">
        <f t="shared" si="99"/>
        <v>0</v>
      </c>
      <c r="Q139" s="82">
        <f t="shared" si="99"/>
        <v>0</v>
      </c>
      <c r="R139" s="82">
        <f t="shared" si="99"/>
        <v>0</v>
      </c>
      <c r="S139" s="82">
        <f t="shared" si="99"/>
        <v>0</v>
      </c>
      <c r="T139" s="152">
        <f>SUM(H139:S139)</f>
        <v>0</v>
      </c>
    </row>
    <row r="140" spans="1:31" s="4" customFormat="1" ht="13.8" thickBot="1" x14ac:dyDescent="0.3">
      <c r="B140" s="48"/>
      <c r="C140" s="4" t="s">
        <v>311</v>
      </c>
      <c r="D140" s="4">
        <v>0</v>
      </c>
      <c r="E140" s="5">
        <v>0</v>
      </c>
      <c r="F140" s="5">
        <f>E140*D140</f>
        <v>0</v>
      </c>
      <c r="G140" s="146"/>
      <c r="H140" s="82">
        <f>$E$140*0</f>
        <v>0</v>
      </c>
      <c r="I140" s="82">
        <f t="shared" ref="I140:L140" si="100">$E$140*0</f>
        <v>0</v>
      </c>
      <c r="J140" s="82">
        <f t="shared" si="100"/>
        <v>0</v>
      </c>
      <c r="K140" s="82">
        <f t="shared" si="100"/>
        <v>0</v>
      </c>
      <c r="L140" s="82">
        <f t="shared" si="100"/>
        <v>0</v>
      </c>
      <c r="M140" s="82">
        <f t="shared" ref="M140:S140" si="101">$E$140*0</f>
        <v>0</v>
      </c>
      <c r="N140" s="82">
        <f t="shared" si="101"/>
        <v>0</v>
      </c>
      <c r="O140" s="82">
        <f t="shared" si="101"/>
        <v>0</v>
      </c>
      <c r="P140" s="82">
        <f t="shared" si="101"/>
        <v>0</v>
      </c>
      <c r="Q140" s="82">
        <f t="shared" si="101"/>
        <v>0</v>
      </c>
      <c r="R140" s="82">
        <f t="shared" si="101"/>
        <v>0</v>
      </c>
      <c r="S140" s="82">
        <f t="shared" si="101"/>
        <v>0</v>
      </c>
      <c r="T140" s="152">
        <f>SUM(H140:S140)</f>
        <v>0</v>
      </c>
    </row>
    <row r="141" spans="1:31" s="10" customFormat="1" ht="16.2" thickBot="1" x14ac:dyDescent="0.35">
      <c r="A141" s="92"/>
      <c r="B141" s="92"/>
      <c r="C141" s="264" t="s">
        <v>210</v>
      </c>
      <c r="D141" s="265"/>
      <c r="E141" s="265"/>
      <c r="F141" s="266"/>
      <c r="G141" s="94">
        <f>SUM(F139:F140)</f>
        <v>0</v>
      </c>
      <c r="H141" s="94">
        <f t="shared" ref="H141:S141" si="102">SUM(H139:H140)</f>
        <v>0</v>
      </c>
      <c r="I141" s="94">
        <f t="shared" si="102"/>
        <v>0</v>
      </c>
      <c r="J141" s="94">
        <f t="shared" si="102"/>
        <v>0</v>
      </c>
      <c r="K141" s="94">
        <f t="shared" si="102"/>
        <v>0</v>
      </c>
      <c r="L141" s="94">
        <f t="shared" si="102"/>
        <v>0</v>
      </c>
      <c r="M141" s="94">
        <f t="shared" si="102"/>
        <v>0</v>
      </c>
      <c r="N141" s="94">
        <f t="shared" si="102"/>
        <v>0</v>
      </c>
      <c r="O141" s="94">
        <f t="shared" si="102"/>
        <v>0</v>
      </c>
      <c r="P141" s="94">
        <f t="shared" si="102"/>
        <v>0</v>
      </c>
      <c r="Q141" s="94">
        <f t="shared" si="102"/>
        <v>0</v>
      </c>
      <c r="R141" s="94">
        <f t="shared" si="102"/>
        <v>0</v>
      </c>
      <c r="S141" s="94">
        <f t="shared" si="102"/>
        <v>0</v>
      </c>
      <c r="T141" s="94">
        <f>SUM(T139:T140)</f>
        <v>0</v>
      </c>
      <c r="U141" s="14"/>
    </row>
    <row r="142" spans="1:31" x14ac:dyDescent="0.25">
      <c r="B142" s="193"/>
      <c r="F142" s="162"/>
      <c r="G142" s="142"/>
      <c r="H142" s="194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7"/>
      <c r="T142" s="152"/>
      <c r="U142" s="5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s="4" customFormat="1" x14ac:dyDescent="0.25">
      <c r="A143" s="2">
        <v>384</v>
      </c>
      <c r="B143" s="58">
        <v>38401</v>
      </c>
      <c r="C143" s="2" t="s">
        <v>208</v>
      </c>
      <c r="G143" s="146"/>
      <c r="H143" s="82"/>
      <c r="I143" s="82"/>
      <c r="J143" s="82"/>
      <c r="K143" s="82"/>
      <c r="L143" s="82"/>
      <c r="M143" s="82"/>
      <c r="N143" s="85"/>
      <c r="O143" s="85"/>
      <c r="P143" s="85"/>
      <c r="Q143" s="85"/>
      <c r="R143" s="85"/>
      <c r="S143" s="151"/>
      <c r="T143" s="152"/>
    </row>
    <row r="144" spans="1:31" s="4" customFormat="1" ht="13.8" thickBot="1" x14ac:dyDescent="0.3">
      <c r="B144" s="58"/>
      <c r="C144" s="4" t="s">
        <v>183</v>
      </c>
      <c r="D144" s="4">
        <v>0</v>
      </c>
      <c r="E144" s="5">
        <v>0</v>
      </c>
      <c r="F144" s="5">
        <f>E144*D144</f>
        <v>0</v>
      </c>
      <c r="G144" s="146"/>
      <c r="H144" s="182">
        <f>$E$144*0</f>
        <v>0</v>
      </c>
      <c r="I144" s="182">
        <f>$E$144*2</f>
        <v>0</v>
      </c>
      <c r="J144" s="182">
        <f>$E$144*0</f>
        <v>0</v>
      </c>
      <c r="K144" s="182">
        <f t="shared" ref="K144:N144" si="103">$E$144*0</f>
        <v>0</v>
      </c>
      <c r="L144" s="182">
        <f t="shared" si="103"/>
        <v>0</v>
      </c>
      <c r="M144" s="182">
        <f t="shared" si="103"/>
        <v>0</v>
      </c>
      <c r="N144" s="182">
        <f t="shared" si="103"/>
        <v>0</v>
      </c>
      <c r="O144" s="182">
        <f>$E$144*0</f>
        <v>0</v>
      </c>
      <c r="P144" s="182">
        <f>$E$144*0</f>
        <v>0</v>
      </c>
      <c r="Q144" s="182">
        <f>$E$144*0</f>
        <v>0</v>
      </c>
      <c r="R144" s="182">
        <f>$E$144*0</f>
        <v>0</v>
      </c>
      <c r="S144" s="182">
        <f>$E$144*0</f>
        <v>0</v>
      </c>
      <c r="T144" s="165">
        <f>SUM(H144:S144)</f>
        <v>0</v>
      </c>
    </row>
    <row r="145" spans="1:31" s="10" customFormat="1" ht="16.2" thickBot="1" x14ac:dyDescent="0.35">
      <c r="A145" s="92"/>
      <c r="B145" s="92"/>
      <c r="C145" s="92"/>
      <c r="D145" s="264" t="s">
        <v>209</v>
      </c>
      <c r="E145" s="265"/>
      <c r="F145" s="266"/>
      <c r="G145" s="94">
        <f>SUM(F144:F144)</f>
        <v>0</v>
      </c>
      <c r="H145" s="94">
        <f t="shared" ref="H145:T145" si="104">SUM(H144:H144)</f>
        <v>0</v>
      </c>
      <c r="I145" s="94">
        <f t="shared" si="104"/>
        <v>0</v>
      </c>
      <c r="J145" s="94">
        <f t="shared" si="104"/>
        <v>0</v>
      </c>
      <c r="K145" s="94">
        <f t="shared" si="104"/>
        <v>0</v>
      </c>
      <c r="L145" s="94">
        <f t="shared" si="104"/>
        <v>0</v>
      </c>
      <c r="M145" s="94">
        <f t="shared" si="104"/>
        <v>0</v>
      </c>
      <c r="N145" s="94">
        <f t="shared" si="104"/>
        <v>0</v>
      </c>
      <c r="O145" s="94">
        <f t="shared" si="104"/>
        <v>0</v>
      </c>
      <c r="P145" s="94">
        <f t="shared" si="104"/>
        <v>0</v>
      </c>
      <c r="Q145" s="94">
        <f t="shared" si="104"/>
        <v>0</v>
      </c>
      <c r="R145" s="94">
        <f t="shared" si="104"/>
        <v>0</v>
      </c>
      <c r="S145" s="94">
        <f t="shared" si="104"/>
        <v>0</v>
      </c>
      <c r="T145" s="94">
        <f t="shared" si="104"/>
        <v>0</v>
      </c>
      <c r="U145" s="14"/>
    </row>
    <row r="146" spans="1:31" x14ac:dyDescent="0.25">
      <c r="B146" s="48"/>
      <c r="F146" s="162"/>
      <c r="G146" s="142"/>
      <c r="H146" s="194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7"/>
      <c r="T146" s="152"/>
      <c r="U146" s="5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s="4" customFormat="1" x14ac:dyDescent="0.25">
      <c r="A147" s="2">
        <v>392</v>
      </c>
      <c r="B147" s="58">
        <v>39201</v>
      </c>
      <c r="C147" s="2" t="s">
        <v>10</v>
      </c>
      <c r="G147" s="146"/>
      <c r="H147" s="82"/>
      <c r="I147" s="82"/>
      <c r="J147" s="82"/>
      <c r="K147" s="82"/>
      <c r="L147" s="82"/>
      <c r="M147" s="82"/>
      <c r="N147" s="85"/>
      <c r="O147" s="85"/>
      <c r="P147" s="85"/>
      <c r="Q147" s="85"/>
      <c r="R147" s="85"/>
      <c r="S147" s="151"/>
      <c r="T147" s="152"/>
    </row>
    <row r="148" spans="1:31" s="4" customFormat="1" ht="13.8" thickBot="1" x14ac:dyDescent="0.3">
      <c r="B148" s="48"/>
      <c r="C148" s="4" t="s">
        <v>356</v>
      </c>
      <c r="D148" s="4">
        <v>1</v>
      </c>
      <c r="E148" s="5">
        <v>2500</v>
      </c>
      <c r="F148" s="5">
        <f>+E148*D148</f>
        <v>2500</v>
      </c>
      <c r="G148" s="146"/>
      <c r="H148" s="182">
        <f>$E$148*1</f>
        <v>2500</v>
      </c>
      <c r="I148" s="182">
        <f>$E$148*0</f>
        <v>0</v>
      </c>
      <c r="J148" s="182">
        <f>$E$148*0</f>
        <v>0</v>
      </c>
      <c r="K148" s="182">
        <f t="shared" ref="K148:S148" si="105">$E$148*0</f>
        <v>0</v>
      </c>
      <c r="L148" s="182">
        <f t="shared" si="105"/>
        <v>0</v>
      </c>
      <c r="M148" s="182">
        <f t="shared" si="105"/>
        <v>0</v>
      </c>
      <c r="N148" s="182">
        <f t="shared" si="105"/>
        <v>0</v>
      </c>
      <c r="O148" s="182">
        <f t="shared" si="105"/>
        <v>0</v>
      </c>
      <c r="P148" s="182">
        <f t="shared" si="105"/>
        <v>0</v>
      </c>
      <c r="Q148" s="182">
        <f t="shared" si="105"/>
        <v>0</v>
      </c>
      <c r="R148" s="182">
        <f t="shared" si="105"/>
        <v>0</v>
      </c>
      <c r="S148" s="182">
        <f t="shared" si="105"/>
        <v>0</v>
      </c>
      <c r="T148" s="165">
        <f>SUM(H148:S148)</f>
        <v>2500</v>
      </c>
    </row>
    <row r="149" spans="1:31" s="10" customFormat="1" ht="16.2" thickBot="1" x14ac:dyDescent="0.35">
      <c r="A149" s="92"/>
      <c r="B149" s="92"/>
      <c r="C149" s="264" t="s">
        <v>41</v>
      </c>
      <c r="D149" s="265"/>
      <c r="E149" s="265"/>
      <c r="F149" s="266"/>
      <c r="G149" s="94">
        <f>SUM(F148:F148)</f>
        <v>2500</v>
      </c>
      <c r="H149" s="94">
        <f t="shared" ref="H149:T149" si="106">SUM(H148:H148)</f>
        <v>2500</v>
      </c>
      <c r="I149" s="94">
        <f t="shared" si="106"/>
        <v>0</v>
      </c>
      <c r="J149" s="94">
        <f t="shared" si="106"/>
        <v>0</v>
      </c>
      <c r="K149" s="94">
        <f t="shared" si="106"/>
        <v>0</v>
      </c>
      <c r="L149" s="94">
        <f t="shared" si="106"/>
        <v>0</v>
      </c>
      <c r="M149" s="94">
        <f t="shared" si="106"/>
        <v>0</v>
      </c>
      <c r="N149" s="94">
        <f t="shared" si="106"/>
        <v>0</v>
      </c>
      <c r="O149" s="94">
        <f t="shared" si="106"/>
        <v>0</v>
      </c>
      <c r="P149" s="94">
        <f t="shared" si="106"/>
        <v>0</v>
      </c>
      <c r="Q149" s="94">
        <f t="shared" si="106"/>
        <v>0</v>
      </c>
      <c r="R149" s="94">
        <f t="shared" si="106"/>
        <v>0</v>
      </c>
      <c r="S149" s="94">
        <f t="shared" si="106"/>
        <v>0</v>
      </c>
      <c r="T149" s="94">
        <f t="shared" si="106"/>
        <v>2500</v>
      </c>
      <c r="U149" s="14"/>
    </row>
    <row r="150" spans="1:31" x14ac:dyDescent="0.25">
      <c r="A150" s="2">
        <v>395</v>
      </c>
      <c r="B150" s="58">
        <v>39501</v>
      </c>
      <c r="C150" s="269" t="s">
        <v>259</v>
      </c>
      <c r="D150" s="269"/>
      <c r="G150" s="146"/>
      <c r="H150" s="82"/>
      <c r="I150" s="82"/>
      <c r="J150" s="82"/>
      <c r="K150" s="82"/>
      <c r="L150" s="82"/>
      <c r="M150" s="82"/>
      <c r="N150" s="85"/>
      <c r="O150" s="85"/>
      <c r="P150" s="85"/>
      <c r="Q150" s="85"/>
      <c r="R150" s="85"/>
      <c r="S150" s="151"/>
      <c r="T150" s="152"/>
      <c r="U150" s="5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3.8" thickBot="1" x14ac:dyDescent="0.3">
      <c r="B151" s="48"/>
      <c r="C151" s="4" t="s">
        <v>188</v>
      </c>
      <c r="D151" s="4">
        <v>0</v>
      </c>
      <c r="E151" s="5">
        <v>1000</v>
      </c>
      <c r="F151" s="5">
        <f>+D151*E151</f>
        <v>0</v>
      </c>
      <c r="G151" s="146"/>
      <c r="H151" s="82">
        <f>$E$155*0</f>
        <v>0</v>
      </c>
      <c r="I151" s="82">
        <f t="shared" ref="I151:S151" si="107">$E$155*0</f>
        <v>0</v>
      </c>
      <c r="J151" s="82">
        <f t="shared" si="107"/>
        <v>0</v>
      </c>
      <c r="K151" s="82">
        <f t="shared" si="107"/>
        <v>0</v>
      </c>
      <c r="L151" s="82">
        <f t="shared" si="107"/>
        <v>0</v>
      </c>
      <c r="M151" s="82">
        <f t="shared" si="107"/>
        <v>0</v>
      </c>
      <c r="N151" s="82">
        <f t="shared" si="107"/>
        <v>0</v>
      </c>
      <c r="O151" s="82">
        <f t="shared" si="107"/>
        <v>0</v>
      </c>
      <c r="P151" s="82">
        <f t="shared" si="107"/>
        <v>0</v>
      </c>
      <c r="Q151" s="82">
        <f t="shared" si="107"/>
        <v>0</v>
      </c>
      <c r="R151" s="82">
        <f t="shared" si="107"/>
        <v>0</v>
      </c>
      <c r="S151" s="82">
        <f t="shared" si="107"/>
        <v>0</v>
      </c>
      <c r="T151" s="152">
        <f>SUM(H151:S151)</f>
        <v>0</v>
      </c>
      <c r="U151" s="5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6.2" thickBot="1" x14ac:dyDescent="0.35">
      <c r="A152" s="92"/>
      <c r="B152" s="92"/>
      <c r="C152" s="264" t="s">
        <v>260</v>
      </c>
      <c r="D152" s="265"/>
      <c r="E152" s="265"/>
      <c r="F152" s="266"/>
      <c r="G152" s="94">
        <f>SUM(F151:F151)</f>
        <v>0</v>
      </c>
      <c r="H152" s="94">
        <f t="shared" ref="H152:T152" si="108">SUM(H151:H151)</f>
        <v>0</v>
      </c>
      <c r="I152" s="94">
        <f t="shared" si="108"/>
        <v>0</v>
      </c>
      <c r="J152" s="94">
        <f t="shared" si="108"/>
        <v>0</v>
      </c>
      <c r="K152" s="94">
        <f t="shared" si="108"/>
        <v>0</v>
      </c>
      <c r="L152" s="94">
        <f t="shared" si="108"/>
        <v>0</v>
      </c>
      <c r="M152" s="94">
        <f t="shared" si="108"/>
        <v>0</v>
      </c>
      <c r="N152" s="94">
        <f t="shared" si="108"/>
        <v>0</v>
      </c>
      <c r="O152" s="94">
        <f t="shared" si="108"/>
        <v>0</v>
      </c>
      <c r="P152" s="94">
        <f t="shared" si="108"/>
        <v>0</v>
      </c>
      <c r="Q152" s="94">
        <f t="shared" si="108"/>
        <v>0</v>
      </c>
      <c r="R152" s="94">
        <f t="shared" si="108"/>
        <v>0</v>
      </c>
      <c r="S152" s="94">
        <f t="shared" si="108"/>
        <v>0</v>
      </c>
      <c r="T152" s="94">
        <f t="shared" si="108"/>
        <v>0</v>
      </c>
      <c r="U152" s="5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x14ac:dyDescent="0.25">
      <c r="B153" s="48"/>
      <c r="F153" s="162"/>
      <c r="G153" s="142"/>
      <c r="H153" s="184"/>
      <c r="I153" s="184"/>
      <c r="J153" s="184"/>
      <c r="K153" s="184"/>
      <c r="L153" s="184"/>
      <c r="M153" s="184"/>
      <c r="N153" s="156"/>
      <c r="O153" s="156"/>
      <c r="P153" s="156"/>
      <c r="Q153" s="156"/>
      <c r="R153" s="156"/>
      <c r="S153" s="157"/>
      <c r="T153" s="152"/>
      <c r="U153" s="5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s="4" customFormat="1" x14ac:dyDescent="0.25">
      <c r="A154" s="2">
        <v>398</v>
      </c>
      <c r="B154" s="58">
        <v>39801</v>
      </c>
      <c r="C154" s="269" t="s">
        <v>488</v>
      </c>
      <c r="D154" s="269"/>
      <c r="G154" s="146"/>
      <c r="H154" s="82"/>
      <c r="I154" s="82"/>
      <c r="J154" s="82"/>
      <c r="K154" s="82"/>
      <c r="L154" s="82"/>
      <c r="M154" s="82"/>
      <c r="N154" s="85"/>
      <c r="O154" s="85"/>
      <c r="P154" s="85"/>
      <c r="Q154" s="85"/>
      <c r="R154" s="85"/>
      <c r="S154" s="151"/>
      <c r="T154" s="152"/>
    </row>
    <row r="155" spans="1:31" s="4" customFormat="1" ht="13.8" thickBot="1" x14ac:dyDescent="0.3">
      <c r="B155" s="48"/>
      <c r="C155" s="4" t="s">
        <v>489</v>
      </c>
      <c r="D155" s="4">
        <v>12</v>
      </c>
      <c r="E155" s="5">
        <v>12849.166999999999</v>
      </c>
      <c r="F155" s="5">
        <f>+D155*E155</f>
        <v>154190.00399999999</v>
      </c>
      <c r="G155" s="146"/>
      <c r="H155" s="82">
        <f>$E$155*1</f>
        <v>12849.166999999999</v>
      </c>
      <c r="I155" s="82">
        <f t="shared" ref="I155:S155" si="109">$E$155*1</f>
        <v>12849.166999999999</v>
      </c>
      <c r="J155" s="82">
        <f t="shared" si="109"/>
        <v>12849.166999999999</v>
      </c>
      <c r="K155" s="82">
        <f t="shared" si="109"/>
        <v>12849.166999999999</v>
      </c>
      <c r="L155" s="82">
        <f t="shared" si="109"/>
        <v>12849.166999999999</v>
      </c>
      <c r="M155" s="82">
        <f t="shared" si="109"/>
        <v>12849.166999999999</v>
      </c>
      <c r="N155" s="82">
        <f t="shared" si="109"/>
        <v>12849.166999999999</v>
      </c>
      <c r="O155" s="82">
        <f t="shared" si="109"/>
        <v>12849.166999999999</v>
      </c>
      <c r="P155" s="82">
        <f t="shared" si="109"/>
        <v>12849.166999999999</v>
      </c>
      <c r="Q155" s="82">
        <f t="shared" si="109"/>
        <v>12849.166999999999</v>
      </c>
      <c r="R155" s="82">
        <f t="shared" si="109"/>
        <v>12849.166999999999</v>
      </c>
      <c r="S155" s="82">
        <f t="shared" si="109"/>
        <v>12849.166999999999</v>
      </c>
      <c r="T155" s="152">
        <f>SUM(H155:S155)</f>
        <v>154190.00399999999</v>
      </c>
    </row>
    <row r="156" spans="1:31" s="10" customFormat="1" ht="16.2" thickBot="1" x14ac:dyDescent="0.35">
      <c r="A156" s="92"/>
      <c r="B156" s="92"/>
      <c r="C156" s="264" t="s">
        <v>491</v>
      </c>
      <c r="D156" s="265"/>
      <c r="E156" s="265"/>
      <c r="F156" s="266"/>
      <c r="G156" s="94">
        <f>SUM(F155:F155)</f>
        <v>154190.00399999999</v>
      </c>
      <c r="H156" s="94">
        <f t="shared" ref="H156:T156" si="110">SUM(H155:H155)</f>
        <v>12849.166999999999</v>
      </c>
      <c r="I156" s="94">
        <f t="shared" si="110"/>
        <v>12849.166999999999</v>
      </c>
      <c r="J156" s="94">
        <f t="shared" si="110"/>
        <v>12849.166999999999</v>
      </c>
      <c r="K156" s="94">
        <f t="shared" si="110"/>
        <v>12849.166999999999</v>
      </c>
      <c r="L156" s="94">
        <f t="shared" si="110"/>
        <v>12849.166999999999</v>
      </c>
      <c r="M156" s="94">
        <f t="shared" si="110"/>
        <v>12849.166999999999</v>
      </c>
      <c r="N156" s="94">
        <f t="shared" si="110"/>
        <v>12849.166999999999</v>
      </c>
      <c r="O156" s="94">
        <f t="shared" si="110"/>
        <v>12849.166999999999</v>
      </c>
      <c r="P156" s="94">
        <f t="shared" si="110"/>
        <v>12849.166999999999</v>
      </c>
      <c r="Q156" s="94">
        <f t="shared" si="110"/>
        <v>12849.166999999999</v>
      </c>
      <c r="R156" s="94">
        <f t="shared" si="110"/>
        <v>12849.166999999999</v>
      </c>
      <c r="S156" s="94">
        <f t="shared" si="110"/>
        <v>12849.166999999999</v>
      </c>
      <c r="T156" s="94">
        <f t="shared" si="110"/>
        <v>154190.00399999999</v>
      </c>
      <c r="U156" s="14"/>
    </row>
    <row r="157" spans="1:31" x14ac:dyDescent="0.25">
      <c r="B157" s="48"/>
      <c r="F157" s="162"/>
      <c r="G157" s="142"/>
      <c r="H157" s="194"/>
      <c r="I157" s="156"/>
      <c r="J157" s="156"/>
      <c r="K157" s="156"/>
      <c r="L157" s="156"/>
      <c r="M157" s="156"/>
      <c r="N157" s="156"/>
      <c r="O157" s="156"/>
      <c r="P157" s="156"/>
      <c r="Q157" s="156"/>
      <c r="R157" s="156"/>
      <c r="S157" s="157"/>
      <c r="T157" s="152"/>
      <c r="U157" s="5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3.8" thickBot="1" x14ac:dyDescent="0.3">
      <c r="B158" s="48"/>
      <c r="G158" s="146"/>
      <c r="H158" s="195"/>
      <c r="I158" s="195"/>
      <c r="J158" s="195"/>
      <c r="K158" s="195"/>
      <c r="L158" s="195"/>
      <c r="M158" s="195"/>
      <c r="N158" s="175"/>
      <c r="O158" s="175"/>
      <c r="P158" s="175"/>
      <c r="Q158" s="175"/>
      <c r="R158" s="175"/>
      <c r="S158" s="176"/>
      <c r="T158" s="177"/>
      <c r="U158" s="5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s="10" customFormat="1" ht="16.2" thickBot="1" x14ac:dyDescent="0.35">
      <c r="A159" s="92"/>
      <c r="B159" s="92"/>
      <c r="C159" s="178" t="s">
        <v>43</v>
      </c>
      <c r="D159" s="179"/>
      <c r="E159" s="179"/>
      <c r="F159" s="180"/>
      <c r="G159" s="94">
        <f>SUM(G6:G156)</f>
        <v>4410349.5839999998</v>
      </c>
      <c r="H159" s="94">
        <f t="shared" ref="H159:S159" si="111">+H6+H10+H14+H18+H23+H27+H34+H39+H48+H52+H59+H65+H70+H74+H81+H85+H89+H95+H99+H103+H107+H113+H117+H121+H125+H130+H136+H141+H145+H149+H156</f>
        <v>499274.66700000002</v>
      </c>
      <c r="I159" s="94">
        <f t="shared" si="111"/>
        <v>377197.83200000005</v>
      </c>
      <c r="J159" s="94">
        <f t="shared" si="111"/>
        <v>348623.66700000002</v>
      </c>
      <c r="K159" s="94">
        <f t="shared" si="111"/>
        <v>330923.66700000002</v>
      </c>
      <c r="L159" s="94">
        <f t="shared" si="111"/>
        <v>350523.66700000002</v>
      </c>
      <c r="M159" s="94">
        <f t="shared" si="111"/>
        <v>353673.66700000002</v>
      </c>
      <c r="N159" s="94">
        <f t="shared" si="111"/>
        <v>377168.58200000005</v>
      </c>
      <c r="O159" s="94">
        <f t="shared" si="111"/>
        <v>329223.66700000002</v>
      </c>
      <c r="P159" s="94">
        <f t="shared" si="111"/>
        <v>359673.66700000002</v>
      </c>
      <c r="Q159" s="94">
        <f t="shared" si="111"/>
        <v>329623.66700000002</v>
      </c>
      <c r="R159" s="94">
        <f t="shared" si="111"/>
        <v>360077.66700000002</v>
      </c>
      <c r="S159" s="94">
        <f t="shared" si="111"/>
        <v>394365.16700000002</v>
      </c>
      <c r="T159" s="94">
        <f>SUM(H159:S159)</f>
        <v>4410349.5839999998</v>
      </c>
      <c r="U159" s="14"/>
    </row>
    <row r="160" spans="1:31" x14ac:dyDescent="0.25">
      <c r="S160" s="5"/>
      <c r="U160" s="5"/>
      <c r="V160" s="5"/>
      <c r="W160" s="4"/>
      <c r="X160" s="4"/>
      <c r="Y160" s="4"/>
      <c r="Z160" s="4"/>
      <c r="AA160" s="4"/>
      <c r="AB160" s="4"/>
      <c r="AC160" s="4"/>
      <c r="AD160" s="4"/>
      <c r="AE160" s="4"/>
    </row>
    <row r="161" spans="6:31" x14ac:dyDescent="0.25">
      <c r="S161" s="5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6:31" x14ac:dyDescent="0.25"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6:31" x14ac:dyDescent="0.25">
      <c r="F163" s="5"/>
      <c r="G163" s="5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6:31" x14ac:dyDescent="0.25"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6:31" x14ac:dyDescent="0.25"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6:31" x14ac:dyDescent="0.25"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</sheetData>
  <mergeCells count="43">
    <mergeCell ref="C103:F103"/>
    <mergeCell ref="C34:F34"/>
    <mergeCell ref="C48:F48"/>
    <mergeCell ref="C52:F52"/>
    <mergeCell ref="C54:E54"/>
    <mergeCell ref="B59:F59"/>
    <mergeCell ref="C89:F89"/>
    <mergeCell ref="C74:F74"/>
    <mergeCell ref="C65:F65"/>
    <mergeCell ref="C70:F70"/>
    <mergeCell ref="C67:D67"/>
    <mergeCell ref="D145:F145"/>
    <mergeCell ref="C149:F149"/>
    <mergeCell ref="C136:F136"/>
    <mergeCell ref="C156:F156"/>
    <mergeCell ref="C154:D154"/>
    <mergeCell ref="C141:F141"/>
    <mergeCell ref="C150:D150"/>
    <mergeCell ref="C152:F152"/>
    <mergeCell ref="B1:G1"/>
    <mergeCell ref="C18:F18"/>
    <mergeCell ref="C23:F23"/>
    <mergeCell ref="C27:F27"/>
    <mergeCell ref="C14:F14"/>
    <mergeCell ref="C25:D25"/>
    <mergeCell ref="C6:F6"/>
    <mergeCell ref="C10:F10"/>
    <mergeCell ref="C130:F130"/>
    <mergeCell ref="C29:E29"/>
    <mergeCell ref="C36:F36"/>
    <mergeCell ref="C39:F39"/>
    <mergeCell ref="D107:F107"/>
    <mergeCell ref="D121:F121"/>
    <mergeCell ref="C117:F117"/>
    <mergeCell ref="C113:F113"/>
    <mergeCell ref="C125:F125"/>
    <mergeCell ref="C81:F81"/>
    <mergeCell ref="C76:D76"/>
    <mergeCell ref="C99:F99"/>
    <mergeCell ref="C83:D83"/>
    <mergeCell ref="C91:D91"/>
    <mergeCell ref="C85:F85"/>
    <mergeCell ref="C95:F95"/>
  </mergeCells>
  <phoneticPr fontId="0" type="noConversion"/>
  <printOptions horizontalCentered="1"/>
  <pageMargins left="0.70866141732283472" right="0.70866141732283472" top="0.9055118110236221" bottom="1.0236220472440944" header="0.27559055118110237" footer="0"/>
  <pageSetup scale="60" fitToHeight="2" orientation="portrait" verticalDpi="300" r:id="rId1"/>
  <headerFooter alignWithMargins="0"/>
  <ignoredErrors>
    <ignoredError sqref="S120 L120:Q120 R129:S129 M68:O68 Q68:R68 K51:S51 L45:P45 H43 I44 I154:P154 K139:P139 J30:R30 I31 J32:M32 K88:P88 K92 K73 P31:S31 O32:P32 I106:L106 Q106 K17 L47:P47 P46 K46:N46 L133 J43:K43 L31:M31 M73:N73 P73 I88 N92:S92 N106 J116:L116 L134:M134 I135:J135 O135 R73 I73 N116:O116 Q135 M135 I37:S37 I38:R38 I128:K128 K42 N55:N58 L94 I79:R79 I141:P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67"/>
  <sheetViews>
    <sheetView topLeftCell="A4" zoomScaleNormal="100" workbookViewId="0">
      <selection activeCell="G38" sqref="G38"/>
    </sheetView>
  </sheetViews>
  <sheetFormatPr baseColWidth="10" defaultRowHeight="13.2" x14ac:dyDescent="0.25"/>
  <cols>
    <col min="1" max="1" width="9" style="4" bestFit="1" customWidth="1"/>
    <col min="2" max="2" width="10.33203125" style="4" bestFit="1" customWidth="1"/>
    <col min="3" max="3" width="41.33203125" style="4" bestFit="1" customWidth="1"/>
    <col min="4" max="4" width="12" style="4" customWidth="1"/>
    <col min="5" max="5" width="10.44140625" style="4" customWidth="1"/>
    <col min="6" max="6" width="10.33203125" style="4" bestFit="1" customWidth="1"/>
    <col min="7" max="8" width="13.6640625" style="4" bestFit="1" customWidth="1"/>
    <col min="9" max="10" width="11" style="4" bestFit="1" customWidth="1"/>
    <col min="11" max="11" width="12.33203125" style="4" bestFit="1" customWidth="1"/>
    <col min="12" max="12" width="9.33203125" style="4" bestFit="1" customWidth="1"/>
    <col min="13" max="13" width="6.6640625" style="4" bestFit="1" customWidth="1"/>
    <col min="14" max="14" width="6.5546875" style="4" bestFit="1" customWidth="1"/>
    <col min="15" max="15" width="9.109375" style="4" bestFit="1" customWidth="1"/>
    <col min="16" max="16" width="13.44140625" style="4" bestFit="1" customWidth="1"/>
    <col min="17" max="17" width="10.109375" style="4" bestFit="1" customWidth="1"/>
    <col min="18" max="18" width="12.44140625" style="4" bestFit="1" customWidth="1"/>
    <col min="19" max="19" width="11.5546875" style="4" bestFit="1" customWidth="1"/>
    <col min="20" max="20" width="14.33203125" style="4" bestFit="1" customWidth="1"/>
  </cols>
  <sheetData>
    <row r="1" spans="1:31" s="15" customFormat="1" ht="18" thickBot="1" x14ac:dyDescent="0.35">
      <c r="B1" s="267" t="s">
        <v>95</v>
      </c>
      <c r="C1" s="267"/>
      <c r="D1" s="267"/>
      <c r="E1" s="267"/>
      <c r="F1" s="267"/>
      <c r="G1" s="267"/>
    </row>
    <row r="2" spans="1:31" s="10" customFormat="1" ht="16.2" thickBot="1" x14ac:dyDescent="0.35">
      <c r="A2" s="78" t="s">
        <v>190</v>
      </c>
      <c r="B2" s="78" t="s">
        <v>189</v>
      </c>
      <c r="C2" s="78" t="s">
        <v>30</v>
      </c>
      <c r="D2" s="79" t="s">
        <v>31</v>
      </c>
      <c r="E2" s="79" t="s">
        <v>1</v>
      </c>
      <c r="F2" s="79" t="s">
        <v>32</v>
      </c>
      <c r="G2" s="78" t="s">
        <v>0</v>
      </c>
      <c r="H2" s="78" t="s">
        <v>17</v>
      </c>
      <c r="I2" s="78" t="s">
        <v>18</v>
      </c>
      <c r="J2" s="78" t="s">
        <v>19</v>
      </c>
      <c r="K2" s="78" t="s">
        <v>20</v>
      </c>
      <c r="L2" s="78" t="s">
        <v>21</v>
      </c>
      <c r="M2" s="78" t="s">
        <v>22</v>
      </c>
      <c r="N2" s="78" t="s">
        <v>23</v>
      </c>
      <c r="O2" s="78" t="s">
        <v>24</v>
      </c>
      <c r="P2" s="78" t="s">
        <v>25</v>
      </c>
      <c r="Q2" s="78" t="s">
        <v>26</v>
      </c>
      <c r="R2" s="78" t="s">
        <v>27</v>
      </c>
      <c r="S2" s="196" t="s">
        <v>28</v>
      </c>
      <c r="T2" s="78" t="s">
        <v>29</v>
      </c>
    </row>
    <row r="3" spans="1:31" x14ac:dyDescent="0.25">
      <c r="B3" s="48"/>
      <c r="G3" s="146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153"/>
      <c r="T3" s="197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2" customFormat="1" x14ac:dyDescent="0.25">
      <c r="A4" s="2">
        <v>511</v>
      </c>
      <c r="B4" s="58">
        <v>51101</v>
      </c>
      <c r="C4" s="2" t="s">
        <v>247</v>
      </c>
      <c r="G4" s="150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151"/>
      <c r="T4" s="198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4" customFormat="1" ht="26.4" x14ac:dyDescent="0.25">
      <c r="B5" s="48"/>
      <c r="C5" s="56" t="s">
        <v>317</v>
      </c>
      <c r="D5" s="4">
        <v>0</v>
      </c>
      <c r="E5" s="5">
        <v>1450</v>
      </c>
      <c r="F5" s="5">
        <f t="shared" ref="F5:F7" si="0">+E5*D5</f>
        <v>0</v>
      </c>
      <c r="G5" s="146"/>
      <c r="H5" s="85">
        <f>$E$5*0</f>
        <v>0</v>
      </c>
      <c r="I5" s="85">
        <f>$E$5*0</f>
        <v>0</v>
      </c>
      <c r="J5" s="85">
        <f t="shared" ref="J5:S5" si="1">$E$5*0</f>
        <v>0</v>
      </c>
      <c r="K5" s="85">
        <f t="shared" si="1"/>
        <v>0</v>
      </c>
      <c r="L5" s="85">
        <f t="shared" si="1"/>
        <v>0</v>
      </c>
      <c r="M5" s="85">
        <f t="shared" si="1"/>
        <v>0</v>
      </c>
      <c r="N5" s="85">
        <f t="shared" si="1"/>
        <v>0</v>
      </c>
      <c r="O5" s="85">
        <f t="shared" si="1"/>
        <v>0</v>
      </c>
      <c r="P5" s="85">
        <f t="shared" si="1"/>
        <v>0</v>
      </c>
      <c r="Q5" s="85">
        <f t="shared" si="1"/>
        <v>0</v>
      </c>
      <c r="R5" s="85">
        <f t="shared" si="1"/>
        <v>0</v>
      </c>
      <c r="S5" s="85">
        <f t="shared" si="1"/>
        <v>0</v>
      </c>
      <c r="T5" s="152">
        <f t="shared" ref="T5:T6" si="2">SUM(H5:S5)</f>
        <v>0</v>
      </c>
    </row>
    <row r="6" spans="1:31" s="4" customFormat="1" x14ac:dyDescent="0.25">
      <c r="B6" s="48"/>
      <c r="C6" s="56" t="s">
        <v>316</v>
      </c>
      <c r="D6" s="4">
        <v>0</v>
      </c>
      <c r="E6" s="5">
        <v>2900</v>
      </c>
      <c r="F6" s="5">
        <f t="shared" si="0"/>
        <v>0</v>
      </c>
      <c r="G6" s="146"/>
      <c r="H6" s="85">
        <f>$E$6*0</f>
        <v>0</v>
      </c>
      <c r="I6" s="85">
        <f>$E$6*0</f>
        <v>0</v>
      </c>
      <c r="J6" s="85">
        <f t="shared" ref="J6:S6" si="3">$E$6*0</f>
        <v>0</v>
      </c>
      <c r="K6" s="85">
        <f t="shared" si="3"/>
        <v>0</v>
      </c>
      <c r="L6" s="85">
        <f t="shared" si="3"/>
        <v>0</v>
      </c>
      <c r="M6" s="85">
        <f t="shared" si="3"/>
        <v>0</v>
      </c>
      <c r="N6" s="85">
        <f t="shared" si="3"/>
        <v>0</v>
      </c>
      <c r="O6" s="85">
        <f t="shared" si="3"/>
        <v>0</v>
      </c>
      <c r="P6" s="85">
        <f t="shared" si="3"/>
        <v>0</v>
      </c>
      <c r="Q6" s="85">
        <f t="shared" si="3"/>
        <v>0</v>
      </c>
      <c r="R6" s="85">
        <f t="shared" si="3"/>
        <v>0</v>
      </c>
      <c r="S6" s="85">
        <f t="shared" si="3"/>
        <v>0</v>
      </c>
      <c r="T6" s="152">
        <f t="shared" si="2"/>
        <v>0</v>
      </c>
    </row>
    <row r="7" spans="1:31" s="4" customFormat="1" ht="27" thickBot="1" x14ac:dyDescent="0.3">
      <c r="B7" s="48"/>
      <c r="C7" s="56" t="s">
        <v>318</v>
      </c>
      <c r="D7" s="4">
        <v>0</v>
      </c>
      <c r="E7" s="5">
        <v>2750</v>
      </c>
      <c r="F7" s="5">
        <f t="shared" si="0"/>
        <v>0</v>
      </c>
      <c r="G7" s="146"/>
      <c r="H7" s="85">
        <f>$E$7*0</f>
        <v>0</v>
      </c>
      <c r="I7" s="85">
        <f>$E$7*0</f>
        <v>0</v>
      </c>
      <c r="J7" s="85">
        <f t="shared" ref="J7:L7" si="4">$E$7*0</f>
        <v>0</v>
      </c>
      <c r="K7" s="85">
        <f t="shared" si="4"/>
        <v>0</v>
      </c>
      <c r="L7" s="85">
        <f t="shared" si="4"/>
        <v>0</v>
      </c>
      <c r="M7" s="85">
        <f t="shared" ref="M7:S7" si="5">$E$7*0</f>
        <v>0</v>
      </c>
      <c r="N7" s="85">
        <f t="shared" si="5"/>
        <v>0</v>
      </c>
      <c r="O7" s="85">
        <f t="shared" si="5"/>
        <v>0</v>
      </c>
      <c r="P7" s="85">
        <f t="shared" si="5"/>
        <v>0</v>
      </c>
      <c r="Q7" s="85">
        <f t="shared" si="5"/>
        <v>0</v>
      </c>
      <c r="R7" s="85">
        <f t="shared" si="5"/>
        <v>0</v>
      </c>
      <c r="S7" s="85">
        <f t="shared" si="5"/>
        <v>0</v>
      </c>
      <c r="T7" s="152">
        <f>SUM(H7:S7)</f>
        <v>0</v>
      </c>
    </row>
    <row r="8" spans="1:31" s="10" customFormat="1" ht="16.2" thickBot="1" x14ac:dyDescent="0.35">
      <c r="A8" s="92"/>
      <c r="B8" s="92"/>
      <c r="C8" s="264" t="s">
        <v>248</v>
      </c>
      <c r="D8" s="265"/>
      <c r="E8" s="265"/>
      <c r="F8" s="266"/>
      <c r="G8" s="94">
        <f>SUM(F5:F7)</f>
        <v>0</v>
      </c>
      <c r="H8" s="94">
        <f t="shared" ref="H8:T8" si="6">SUM(H5:H7)</f>
        <v>0</v>
      </c>
      <c r="I8" s="94">
        <f t="shared" si="6"/>
        <v>0</v>
      </c>
      <c r="J8" s="94">
        <f t="shared" si="6"/>
        <v>0</v>
      </c>
      <c r="K8" s="94">
        <f t="shared" si="6"/>
        <v>0</v>
      </c>
      <c r="L8" s="94">
        <f t="shared" si="6"/>
        <v>0</v>
      </c>
      <c r="M8" s="94">
        <f t="shared" si="6"/>
        <v>0</v>
      </c>
      <c r="N8" s="94">
        <f t="shared" si="6"/>
        <v>0</v>
      </c>
      <c r="O8" s="94">
        <f t="shared" si="6"/>
        <v>0</v>
      </c>
      <c r="P8" s="94">
        <f t="shared" si="6"/>
        <v>0</v>
      </c>
      <c r="Q8" s="94">
        <f t="shared" si="6"/>
        <v>0</v>
      </c>
      <c r="R8" s="94">
        <f t="shared" si="6"/>
        <v>0</v>
      </c>
      <c r="S8" s="94">
        <f t="shared" si="6"/>
        <v>0</v>
      </c>
      <c r="T8" s="94">
        <f t="shared" si="6"/>
        <v>0</v>
      </c>
    </row>
    <row r="9" spans="1:31" x14ac:dyDescent="0.25">
      <c r="B9" s="48"/>
      <c r="E9" s="5"/>
      <c r="F9" s="162"/>
      <c r="G9" s="161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60"/>
      <c r="T9" s="154"/>
      <c r="U9" s="5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4" customFormat="1" x14ac:dyDescent="0.25">
      <c r="A10" s="2">
        <v>515</v>
      </c>
      <c r="B10" s="58">
        <v>51501</v>
      </c>
      <c r="C10" s="269" t="s">
        <v>249</v>
      </c>
      <c r="D10" s="269"/>
      <c r="E10" s="269"/>
      <c r="G10" s="146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151"/>
      <c r="T10" s="198"/>
    </row>
    <row r="11" spans="1:31" s="4" customFormat="1" x14ac:dyDescent="0.25">
      <c r="B11" s="48"/>
      <c r="C11" s="4" t="s">
        <v>429</v>
      </c>
      <c r="D11" s="4">
        <v>0</v>
      </c>
      <c r="E11" s="5">
        <v>10000</v>
      </c>
      <c r="F11" s="5">
        <f t="shared" ref="F11:F25" si="7">+E11*D11</f>
        <v>0</v>
      </c>
      <c r="G11" s="146"/>
      <c r="H11" s="85">
        <f t="shared" ref="H11:L11" si="8">$E$11*0</f>
        <v>0</v>
      </c>
      <c r="I11" s="85">
        <f>$E$11*0</f>
        <v>0</v>
      </c>
      <c r="J11" s="85">
        <f>$E$11*0</f>
        <v>0</v>
      </c>
      <c r="K11" s="85">
        <f>$E$11*0</f>
        <v>0</v>
      </c>
      <c r="L11" s="85">
        <f t="shared" si="8"/>
        <v>0</v>
      </c>
      <c r="M11" s="85">
        <f t="shared" ref="M11:S11" si="9">$E$11*0</f>
        <v>0</v>
      </c>
      <c r="N11" s="85">
        <f t="shared" si="9"/>
        <v>0</v>
      </c>
      <c r="O11" s="85">
        <f t="shared" si="9"/>
        <v>0</v>
      </c>
      <c r="P11" s="85">
        <f t="shared" si="9"/>
        <v>0</v>
      </c>
      <c r="Q11" s="85">
        <f t="shared" si="9"/>
        <v>0</v>
      </c>
      <c r="R11" s="85">
        <f t="shared" si="9"/>
        <v>0</v>
      </c>
      <c r="S11" s="85">
        <f t="shared" si="9"/>
        <v>0</v>
      </c>
      <c r="T11" s="152">
        <f t="shared" ref="T11:T25" si="10">SUM(H11:S11)</f>
        <v>0</v>
      </c>
    </row>
    <row r="12" spans="1:31" s="4" customFormat="1" x14ac:dyDescent="0.25">
      <c r="B12" s="48"/>
      <c r="C12" s="4" t="s">
        <v>429</v>
      </c>
      <c r="D12" s="4">
        <v>0</v>
      </c>
      <c r="E12" s="5">
        <v>12000</v>
      </c>
      <c r="F12" s="5">
        <f t="shared" si="7"/>
        <v>0</v>
      </c>
      <c r="G12" s="146"/>
      <c r="H12" s="85">
        <f>$E$12*0</f>
        <v>0</v>
      </c>
      <c r="I12" s="85">
        <f>$E$12*0</f>
        <v>0</v>
      </c>
      <c r="J12" s="85">
        <f>$E$12*0</f>
        <v>0</v>
      </c>
      <c r="K12" s="85">
        <f>$E$12*0</f>
        <v>0</v>
      </c>
      <c r="L12" s="85">
        <f t="shared" ref="L12:S12" si="11">$E$12*0</f>
        <v>0</v>
      </c>
      <c r="M12" s="85">
        <f t="shared" si="11"/>
        <v>0</v>
      </c>
      <c r="N12" s="85">
        <f t="shared" si="11"/>
        <v>0</v>
      </c>
      <c r="O12" s="85">
        <f t="shared" si="11"/>
        <v>0</v>
      </c>
      <c r="P12" s="85">
        <f t="shared" si="11"/>
        <v>0</v>
      </c>
      <c r="Q12" s="85">
        <f t="shared" si="11"/>
        <v>0</v>
      </c>
      <c r="R12" s="85">
        <f t="shared" si="11"/>
        <v>0</v>
      </c>
      <c r="S12" s="85">
        <f t="shared" si="11"/>
        <v>0</v>
      </c>
      <c r="T12" s="152">
        <f t="shared" si="10"/>
        <v>0</v>
      </c>
    </row>
    <row r="13" spans="1:31" s="4" customFormat="1" ht="26.4" x14ac:dyDescent="0.25">
      <c r="B13" s="48"/>
      <c r="C13" s="56" t="s">
        <v>433</v>
      </c>
      <c r="D13" s="4">
        <v>1</v>
      </c>
      <c r="E13" s="5">
        <v>0</v>
      </c>
      <c r="F13" s="5">
        <f t="shared" si="7"/>
        <v>0</v>
      </c>
      <c r="G13" s="146"/>
      <c r="H13" s="85">
        <f>$E$13*0</f>
        <v>0</v>
      </c>
      <c r="I13" s="85">
        <f>$E$13*1</f>
        <v>0</v>
      </c>
      <c r="J13" s="85">
        <f t="shared" ref="J13:K13" si="12">$E$13*0</f>
        <v>0</v>
      </c>
      <c r="K13" s="85">
        <f t="shared" si="12"/>
        <v>0</v>
      </c>
      <c r="L13" s="85">
        <f t="shared" ref="L13:S13" si="13">$E$13*0</f>
        <v>0</v>
      </c>
      <c r="M13" s="85">
        <f t="shared" si="13"/>
        <v>0</v>
      </c>
      <c r="N13" s="85">
        <f t="shared" si="13"/>
        <v>0</v>
      </c>
      <c r="O13" s="85">
        <f t="shared" si="13"/>
        <v>0</v>
      </c>
      <c r="P13" s="85">
        <f t="shared" si="13"/>
        <v>0</v>
      </c>
      <c r="Q13" s="85">
        <f t="shared" si="13"/>
        <v>0</v>
      </c>
      <c r="R13" s="85">
        <f t="shared" si="13"/>
        <v>0</v>
      </c>
      <c r="S13" s="85">
        <f t="shared" si="13"/>
        <v>0</v>
      </c>
      <c r="T13" s="152">
        <f t="shared" si="10"/>
        <v>0</v>
      </c>
    </row>
    <row r="14" spans="1:31" s="4" customFormat="1" ht="39.6" x14ac:dyDescent="0.25">
      <c r="B14" s="48"/>
      <c r="C14" s="56" t="s">
        <v>307</v>
      </c>
      <c r="D14" s="4">
        <v>0</v>
      </c>
      <c r="E14" s="5">
        <v>3000</v>
      </c>
      <c r="F14" s="5">
        <f t="shared" si="7"/>
        <v>0</v>
      </c>
      <c r="G14" s="146"/>
      <c r="H14" s="85">
        <f>$E$14*0</f>
        <v>0</v>
      </c>
      <c r="I14" s="85">
        <f t="shared" ref="I14:S14" si="14">$E$14*0</f>
        <v>0</v>
      </c>
      <c r="J14" s="85">
        <f t="shared" si="14"/>
        <v>0</v>
      </c>
      <c r="K14" s="85">
        <f t="shared" si="14"/>
        <v>0</v>
      </c>
      <c r="L14" s="85">
        <f t="shared" si="14"/>
        <v>0</v>
      </c>
      <c r="M14" s="85">
        <f t="shared" si="14"/>
        <v>0</v>
      </c>
      <c r="N14" s="85">
        <f t="shared" si="14"/>
        <v>0</v>
      </c>
      <c r="O14" s="85">
        <f t="shared" si="14"/>
        <v>0</v>
      </c>
      <c r="P14" s="85">
        <f t="shared" si="14"/>
        <v>0</v>
      </c>
      <c r="Q14" s="85">
        <f t="shared" si="14"/>
        <v>0</v>
      </c>
      <c r="R14" s="85">
        <f t="shared" si="14"/>
        <v>0</v>
      </c>
      <c r="S14" s="85">
        <f t="shared" si="14"/>
        <v>0</v>
      </c>
      <c r="T14" s="152">
        <f t="shared" si="10"/>
        <v>0</v>
      </c>
    </row>
    <row r="15" spans="1:31" s="4" customFormat="1" ht="39.6" x14ac:dyDescent="0.25">
      <c r="B15" s="48"/>
      <c r="C15" s="56" t="s">
        <v>308</v>
      </c>
      <c r="D15" s="4">
        <v>0</v>
      </c>
      <c r="E15" s="5">
        <v>12300</v>
      </c>
      <c r="F15" s="5">
        <f t="shared" si="7"/>
        <v>0</v>
      </c>
      <c r="G15" s="146"/>
      <c r="H15" s="85">
        <f>$E$15*0</f>
        <v>0</v>
      </c>
      <c r="I15" s="85">
        <f t="shared" ref="I15:S15" si="15">$E$15*0</f>
        <v>0</v>
      </c>
      <c r="J15" s="85">
        <f t="shared" si="15"/>
        <v>0</v>
      </c>
      <c r="K15" s="85">
        <f t="shared" si="15"/>
        <v>0</v>
      </c>
      <c r="L15" s="85">
        <f t="shared" si="15"/>
        <v>0</v>
      </c>
      <c r="M15" s="85">
        <f t="shared" si="15"/>
        <v>0</v>
      </c>
      <c r="N15" s="85">
        <f t="shared" si="15"/>
        <v>0</v>
      </c>
      <c r="O15" s="85">
        <f t="shared" si="15"/>
        <v>0</v>
      </c>
      <c r="P15" s="85">
        <f t="shared" si="15"/>
        <v>0</v>
      </c>
      <c r="Q15" s="85">
        <f t="shared" si="15"/>
        <v>0</v>
      </c>
      <c r="R15" s="85">
        <f t="shared" si="15"/>
        <v>0</v>
      </c>
      <c r="S15" s="85">
        <f t="shared" si="15"/>
        <v>0</v>
      </c>
      <c r="T15" s="152">
        <f t="shared" si="10"/>
        <v>0</v>
      </c>
    </row>
    <row r="16" spans="1:31" s="4" customFormat="1" x14ac:dyDescent="0.25">
      <c r="B16" s="48"/>
      <c r="C16" s="4" t="s">
        <v>430</v>
      </c>
      <c r="D16" s="4">
        <v>0</v>
      </c>
      <c r="E16" s="5">
        <v>30000</v>
      </c>
      <c r="F16" s="5">
        <f t="shared" si="7"/>
        <v>0</v>
      </c>
      <c r="G16" s="146"/>
      <c r="H16" s="85">
        <f>$E$16*0</f>
        <v>0</v>
      </c>
      <c r="I16" s="85">
        <f>$E$16*0</f>
        <v>0</v>
      </c>
      <c r="J16" s="85">
        <f t="shared" ref="J16:S16" si="16">$E$16*0</f>
        <v>0</v>
      </c>
      <c r="K16" s="85">
        <f>$E$16*0</f>
        <v>0</v>
      </c>
      <c r="L16" s="85">
        <f t="shared" si="16"/>
        <v>0</v>
      </c>
      <c r="M16" s="85">
        <f t="shared" si="16"/>
        <v>0</v>
      </c>
      <c r="N16" s="85">
        <f t="shared" si="16"/>
        <v>0</v>
      </c>
      <c r="O16" s="85">
        <f t="shared" si="16"/>
        <v>0</v>
      </c>
      <c r="P16" s="85">
        <f t="shared" si="16"/>
        <v>0</v>
      </c>
      <c r="Q16" s="85">
        <f t="shared" si="16"/>
        <v>0</v>
      </c>
      <c r="R16" s="85">
        <f t="shared" si="16"/>
        <v>0</v>
      </c>
      <c r="S16" s="85">
        <f t="shared" si="16"/>
        <v>0</v>
      </c>
      <c r="T16" s="152">
        <f t="shared" si="10"/>
        <v>0</v>
      </c>
    </row>
    <row r="17" spans="1:31" s="4" customFormat="1" x14ac:dyDescent="0.25">
      <c r="B17" s="48"/>
      <c r="C17" s="56" t="s">
        <v>365</v>
      </c>
      <c r="D17" s="4">
        <v>0</v>
      </c>
      <c r="E17" s="5">
        <v>1000</v>
      </c>
      <c r="F17" s="5">
        <f t="shared" si="7"/>
        <v>0</v>
      </c>
      <c r="G17" s="146"/>
      <c r="H17" s="85">
        <f>$E$17*0</f>
        <v>0</v>
      </c>
      <c r="I17" s="85">
        <f>$E$17*0</f>
        <v>0</v>
      </c>
      <c r="J17" s="85">
        <f>$E$17*0</f>
        <v>0</v>
      </c>
      <c r="K17" s="85">
        <f>$E$17*0</f>
        <v>0</v>
      </c>
      <c r="L17" s="85">
        <f t="shared" ref="L17:S17" si="17">$E$17*0</f>
        <v>0</v>
      </c>
      <c r="M17" s="85">
        <f t="shared" si="17"/>
        <v>0</v>
      </c>
      <c r="N17" s="85">
        <f t="shared" si="17"/>
        <v>0</v>
      </c>
      <c r="O17" s="85">
        <f t="shared" si="17"/>
        <v>0</v>
      </c>
      <c r="P17" s="85">
        <f t="shared" si="17"/>
        <v>0</v>
      </c>
      <c r="Q17" s="85">
        <f t="shared" si="17"/>
        <v>0</v>
      </c>
      <c r="R17" s="85">
        <f t="shared" si="17"/>
        <v>0</v>
      </c>
      <c r="S17" s="85">
        <f t="shared" si="17"/>
        <v>0</v>
      </c>
      <c r="T17" s="152">
        <f t="shared" si="10"/>
        <v>0</v>
      </c>
    </row>
    <row r="18" spans="1:31" s="4" customFormat="1" x14ac:dyDescent="0.25">
      <c r="B18" s="48"/>
      <c r="C18" s="4" t="s">
        <v>294</v>
      </c>
      <c r="D18" s="4">
        <v>0</v>
      </c>
      <c r="E18" s="5">
        <v>400</v>
      </c>
      <c r="F18" s="5">
        <f t="shared" si="7"/>
        <v>0</v>
      </c>
      <c r="G18" s="146"/>
      <c r="H18" s="85">
        <f>$E$18*0</f>
        <v>0</v>
      </c>
      <c r="I18" s="85">
        <f>$E$18*0</f>
        <v>0</v>
      </c>
      <c r="J18" s="85">
        <f t="shared" ref="J18:S18" si="18">$E$18*0</f>
        <v>0</v>
      </c>
      <c r="K18" s="85">
        <f t="shared" si="18"/>
        <v>0</v>
      </c>
      <c r="L18" s="85">
        <f t="shared" si="18"/>
        <v>0</v>
      </c>
      <c r="M18" s="85">
        <f t="shared" si="18"/>
        <v>0</v>
      </c>
      <c r="N18" s="85">
        <f t="shared" si="18"/>
        <v>0</v>
      </c>
      <c r="O18" s="85">
        <f t="shared" si="18"/>
        <v>0</v>
      </c>
      <c r="P18" s="85">
        <f t="shared" si="18"/>
        <v>0</v>
      </c>
      <c r="Q18" s="85">
        <f t="shared" si="18"/>
        <v>0</v>
      </c>
      <c r="R18" s="85">
        <f t="shared" si="18"/>
        <v>0</v>
      </c>
      <c r="S18" s="85">
        <f t="shared" si="18"/>
        <v>0</v>
      </c>
      <c r="T18" s="152">
        <f t="shared" si="10"/>
        <v>0</v>
      </c>
    </row>
    <row r="19" spans="1:31" s="4" customFormat="1" ht="26.4" x14ac:dyDescent="0.25">
      <c r="B19" s="48"/>
      <c r="C19" s="56" t="s">
        <v>297</v>
      </c>
      <c r="D19" s="4">
        <v>0</v>
      </c>
      <c r="E19" s="5">
        <v>5200</v>
      </c>
      <c r="F19" s="5">
        <f t="shared" si="7"/>
        <v>0</v>
      </c>
      <c r="G19" s="146"/>
      <c r="H19" s="85">
        <f>$E$19*0</f>
        <v>0</v>
      </c>
      <c r="I19" s="85">
        <f t="shared" ref="I19:S19" si="19">$E$19*0</f>
        <v>0</v>
      </c>
      <c r="J19" s="85">
        <f t="shared" si="19"/>
        <v>0</v>
      </c>
      <c r="K19" s="85">
        <f t="shared" si="19"/>
        <v>0</v>
      </c>
      <c r="L19" s="85">
        <f t="shared" si="19"/>
        <v>0</v>
      </c>
      <c r="M19" s="85">
        <f t="shared" si="19"/>
        <v>0</v>
      </c>
      <c r="N19" s="85">
        <f t="shared" si="19"/>
        <v>0</v>
      </c>
      <c r="O19" s="85">
        <f t="shared" si="19"/>
        <v>0</v>
      </c>
      <c r="P19" s="85">
        <f t="shared" si="19"/>
        <v>0</v>
      </c>
      <c r="Q19" s="85">
        <f t="shared" si="19"/>
        <v>0</v>
      </c>
      <c r="R19" s="85">
        <f t="shared" si="19"/>
        <v>0</v>
      </c>
      <c r="S19" s="85">
        <f t="shared" si="19"/>
        <v>0</v>
      </c>
      <c r="T19" s="152">
        <f t="shared" si="10"/>
        <v>0</v>
      </c>
    </row>
    <row r="20" spans="1:31" s="4" customFormat="1" ht="26.4" x14ac:dyDescent="0.25">
      <c r="B20" s="48"/>
      <c r="C20" s="56" t="s">
        <v>299</v>
      </c>
      <c r="D20" s="4">
        <v>0</v>
      </c>
      <c r="E20" s="5">
        <v>8500</v>
      </c>
      <c r="F20" s="5">
        <f t="shared" si="7"/>
        <v>0</v>
      </c>
      <c r="G20" s="146"/>
      <c r="H20" s="85">
        <f>$E$20*0</f>
        <v>0</v>
      </c>
      <c r="I20" s="85">
        <f t="shared" ref="I20:J20" si="20">$E$20*0</f>
        <v>0</v>
      </c>
      <c r="J20" s="85">
        <f t="shared" si="20"/>
        <v>0</v>
      </c>
      <c r="K20" s="85">
        <f t="shared" ref="K20:S20" si="21">$E$20*0</f>
        <v>0</v>
      </c>
      <c r="L20" s="85">
        <f t="shared" si="21"/>
        <v>0</v>
      </c>
      <c r="M20" s="85">
        <f t="shared" si="21"/>
        <v>0</v>
      </c>
      <c r="N20" s="85">
        <f t="shared" si="21"/>
        <v>0</v>
      </c>
      <c r="O20" s="85">
        <f t="shared" si="21"/>
        <v>0</v>
      </c>
      <c r="P20" s="85">
        <f t="shared" si="21"/>
        <v>0</v>
      </c>
      <c r="Q20" s="85">
        <f t="shared" si="21"/>
        <v>0</v>
      </c>
      <c r="R20" s="85">
        <f t="shared" si="21"/>
        <v>0</v>
      </c>
      <c r="S20" s="85">
        <f t="shared" si="21"/>
        <v>0</v>
      </c>
      <c r="T20" s="152">
        <f t="shared" si="10"/>
        <v>0</v>
      </c>
    </row>
    <row r="21" spans="1:31" s="4" customFormat="1" ht="39.6" x14ac:dyDescent="0.25">
      <c r="B21" s="48"/>
      <c r="C21" s="56" t="s">
        <v>300</v>
      </c>
      <c r="D21" s="4">
        <v>0</v>
      </c>
      <c r="E21" s="5">
        <v>20100</v>
      </c>
      <c r="F21" s="5">
        <f t="shared" si="7"/>
        <v>0</v>
      </c>
      <c r="G21" s="146"/>
      <c r="H21" s="85">
        <f>$E$21*0</f>
        <v>0</v>
      </c>
      <c r="I21" s="85">
        <f t="shared" ref="I21:J21" si="22">$E$21*0</f>
        <v>0</v>
      </c>
      <c r="J21" s="85">
        <f t="shared" si="22"/>
        <v>0</v>
      </c>
      <c r="K21" s="85">
        <f t="shared" ref="K21:S21" si="23">$E$21*0</f>
        <v>0</v>
      </c>
      <c r="L21" s="85">
        <f t="shared" si="23"/>
        <v>0</v>
      </c>
      <c r="M21" s="85">
        <f t="shared" si="23"/>
        <v>0</v>
      </c>
      <c r="N21" s="85">
        <f t="shared" si="23"/>
        <v>0</v>
      </c>
      <c r="O21" s="85">
        <f t="shared" si="23"/>
        <v>0</v>
      </c>
      <c r="P21" s="85">
        <f t="shared" si="23"/>
        <v>0</v>
      </c>
      <c r="Q21" s="85">
        <f t="shared" si="23"/>
        <v>0</v>
      </c>
      <c r="R21" s="85">
        <f t="shared" si="23"/>
        <v>0</v>
      </c>
      <c r="S21" s="85">
        <f t="shared" si="23"/>
        <v>0</v>
      </c>
      <c r="T21" s="152">
        <f t="shared" si="10"/>
        <v>0</v>
      </c>
    </row>
    <row r="22" spans="1:31" s="4" customFormat="1" x14ac:dyDescent="0.25">
      <c r="B22" s="48"/>
      <c r="C22" s="4" t="s">
        <v>432</v>
      </c>
      <c r="D22" s="4">
        <v>6</v>
      </c>
      <c r="E22" s="5">
        <v>120</v>
      </c>
      <c r="F22" s="5">
        <f t="shared" si="7"/>
        <v>720</v>
      </c>
      <c r="G22" s="146"/>
      <c r="H22" s="85">
        <f>$E$22*2</f>
        <v>240</v>
      </c>
      <c r="I22" s="85">
        <f t="shared" ref="I22:J22" si="24">$E$22*2</f>
        <v>240</v>
      </c>
      <c r="J22" s="85">
        <f t="shared" si="24"/>
        <v>240</v>
      </c>
      <c r="K22" s="85">
        <f t="shared" ref="K22:S22" si="25">$E$22*0</f>
        <v>0</v>
      </c>
      <c r="L22" s="85">
        <f t="shared" si="25"/>
        <v>0</v>
      </c>
      <c r="M22" s="85">
        <f t="shared" si="25"/>
        <v>0</v>
      </c>
      <c r="N22" s="85">
        <f t="shared" si="25"/>
        <v>0</v>
      </c>
      <c r="O22" s="85">
        <f t="shared" si="25"/>
        <v>0</v>
      </c>
      <c r="P22" s="85">
        <f t="shared" si="25"/>
        <v>0</v>
      </c>
      <c r="Q22" s="85">
        <f t="shared" si="25"/>
        <v>0</v>
      </c>
      <c r="R22" s="85">
        <f t="shared" si="25"/>
        <v>0</v>
      </c>
      <c r="S22" s="85">
        <f t="shared" si="25"/>
        <v>0</v>
      </c>
      <c r="T22" s="152">
        <f t="shared" si="10"/>
        <v>720</v>
      </c>
    </row>
    <row r="23" spans="1:31" s="4" customFormat="1" x14ac:dyDescent="0.25">
      <c r="B23" s="48"/>
      <c r="C23" s="4" t="s">
        <v>431</v>
      </c>
      <c r="D23" s="4">
        <v>4</v>
      </c>
      <c r="E23" s="5">
        <v>0</v>
      </c>
      <c r="F23" s="5">
        <f t="shared" si="7"/>
        <v>0</v>
      </c>
      <c r="G23" s="146"/>
      <c r="H23" s="85">
        <f>$E$23*4</f>
        <v>0</v>
      </c>
      <c r="I23" s="85">
        <f t="shared" ref="I23:S23" si="26">$E$23*0</f>
        <v>0</v>
      </c>
      <c r="J23" s="85">
        <f t="shared" si="26"/>
        <v>0</v>
      </c>
      <c r="K23" s="85">
        <f t="shared" si="26"/>
        <v>0</v>
      </c>
      <c r="L23" s="85">
        <f t="shared" si="26"/>
        <v>0</v>
      </c>
      <c r="M23" s="85">
        <f t="shared" si="26"/>
        <v>0</v>
      </c>
      <c r="N23" s="85">
        <f t="shared" si="26"/>
        <v>0</v>
      </c>
      <c r="O23" s="85">
        <f t="shared" si="26"/>
        <v>0</v>
      </c>
      <c r="P23" s="85">
        <f t="shared" si="26"/>
        <v>0</v>
      </c>
      <c r="Q23" s="85">
        <f t="shared" si="26"/>
        <v>0</v>
      </c>
      <c r="R23" s="85">
        <f t="shared" si="26"/>
        <v>0</v>
      </c>
      <c r="S23" s="85">
        <f t="shared" si="26"/>
        <v>0</v>
      </c>
      <c r="T23" s="152">
        <f t="shared" si="10"/>
        <v>0</v>
      </c>
    </row>
    <row r="24" spans="1:31" s="4" customFormat="1" ht="26.4" x14ac:dyDescent="0.25">
      <c r="B24" s="48"/>
      <c r="C24" s="56" t="s">
        <v>298</v>
      </c>
      <c r="D24" s="4">
        <v>0</v>
      </c>
      <c r="E24" s="5">
        <v>2500</v>
      </c>
      <c r="F24" s="5">
        <f t="shared" si="7"/>
        <v>0</v>
      </c>
      <c r="G24" s="146"/>
      <c r="H24" s="85">
        <f>$E$24*0</f>
        <v>0</v>
      </c>
      <c r="I24" s="85">
        <f>$E$24*0</f>
        <v>0</v>
      </c>
      <c r="J24" s="85">
        <f t="shared" ref="J24:K24" si="27">$E$24*0</f>
        <v>0</v>
      </c>
      <c r="K24" s="85">
        <f t="shared" si="27"/>
        <v>0</v>
      </c>
      <c r="L24" s="85">
        <f t="shared" ref="L24:S24" si="28">$E$24*0</f>
        <v>0</v>
      </c>
      <c r="M24" s="85">
        <f t="shared" si="28"/>
        <v>0</v>
      </c>
      <c r="N24" s="85">
        <f t="shared" si="28"/>
        <v>0</v>
      </c>
      <c r="O24" s="85">
        <f t="shared" si="28"/>
        <v>0</v>
      </c>
      <c r="P24" s="85">
        <f t="shared" si="28"/>
        <v>0</v>
      </c>
      <c r="Q24" s="85">
        <f t="shared" si="28"/>
        <v>0</v>
      </c>
      <c r="R24" s="85">
        <f t="shared" si="28"/>
        <v>0</v>
      </c>
      <c r="S24" s="85">
        <f t="shared" si="28"/>
        <v>0</v>
      </c>
      <c r="T24" s="152">
        <f t="shared" si="10"/>
        <v>0</v>
      </c>
    </row>
    <row r="25" spans="1:31" s="4" customFormat="1" ht="13.8" thickBot="1" x14ac:dyDescent="0.3">
      <c r="B25" s="48"/>
      <c r="C25" s="4" t="s">
        <v>370</v>
      </c>
      <c r="D25" s="4">
        <v>0</v>
      </c>
      <c r="E25" s="5">
        <v>2500</v>
      </c>
      <c r="F25" s="5">
        <f t="shared" si="7"/>
        <v>0</v>
      </c>
      <c r="G25" s="146"/>
      <c r="H25" s="85">
        <f>$E$25*0</f>
        <v>0</v>
      </c>
      <c r="I25" s="85">
        <f t="shared" ref="I25:S25" si="29">$E$25*0</f>
        <v>0</v>
      </c>
      <c r="J25" s="85">
        <f t="shared" si="29"/>
        <v>0</v>
      </c>
      <c r="K25" s="85">
        <f t="shared" si="29"/>
        <v>0</v>
      </c>
      <c r="L25" s="85">
        <f t="shared" si="29"/>
        <v>0</v>
      </c>
      <c r="M25" s="85">
        <f t="shared" si="29"/>
        <v>0</v>
      </c>
      <c r="N25" s="85">
        <f t="shared" si="29"/>
        <v>0</v>
      </c>
      <c r="O25" s="85">
        <f t="shared" si="29"/>
        <v>0</v>
      </c>
      <c r="P25" s="85">
        <f t="shared" si="29"/>
        <v>0</v>
      </c>
      <c r="Q25" s="85">
        <f t="shared" si="29"/>
        <v>0</v>
      </c>
      <c r="R25" s="85">
        <f t="shared" si="29"/>
        <v>0</v>
      </c>
      <c r="S25" s="85">
        <f t="shared" si="29"/>
        <v>0</v>
      </c>
      <c r="T25" s="152">
        <f t="shared" si="10"/>
        <v>0</v>
      </c>
    </row>
    <row r="26" spans="1:31" s="10" customFormat="1" ht="16.2" thickBot="1" x14ac:dyDescent="0.35">
      <c r="A26" s="92"/>
      <c r="B26" s="92"/>
      <c r="C26" s="264" t="s">
        <v>250</v>
      </c>
      <c r="D26" s="265"/>
      <c r="E26" s="265"/>
      <c r="F26" s="266"/>
      <c r="G26" s="94">
        <f>SUM(F11:F25)</f>
        <v>720</v>
      </c>
      <c r="H26" s="94">
        <f t="shared" ref="H26:T26" si="30">SUM(H11:H25)</f>
        <v>240</v>
      </c>
      <c r="I26" s="94">
        <f t="shared" si="30"/>
        <v>240</v>
      </c>
      <c r="J26" s="94">
        <f t="shared" si="30"/>
        <v>240</v>
      </c>
      <c r="K26" s="94">
        <f t="shared" si="30"/>
        <v>0</v>
      </c>
      <c r="L26" s="94">
        <f t="shared" si="30"/>
        <v>0</v>
      </c>
      <c r="M26" s="94">
        <f t="shared" si="30"/>
        <v>0</v>
      </c>
      <c r="N26" s="94">
        <f t="shared" si="30"/>
        <v>0</v>
      </c>
      <c r="O26" s="94">
        <f t="shared" si="30"/>
        <v>0</v>
      </c>
      <c r="P26" s="94">
        <f t="shared" si="30"/>
        <v>0</v>
      </c>
      <c r="Q26" s="94">
        <f t="shared" si="30"/>
        <v>0</v>
      </c>
      <c r="R26" s="94">
        <f t="shared" si="30"/>
        <v>0</v>
      </c>
      <c r="S26" s="94">
        <f t="shared" si="30"/>
        <v>0</v>
      </c>
      <c r="T26" s="94">
        <f t="shared" si="30"/>
        <v>720</v>
      </c>
      <c r="U26" s="14"/>
    </row>
    <row r="27" spans="1:31" x14ac:dyDescent="0.25">
      <c r="B27" s="48"/>
      <c r="E27" s="5"/>
      <c r="F27" s="162"/>
      <c r="G27" s="161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60"/>
      <c r="T27" s="154"/>
      <c r="U27" s="5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s="4" customFormat="1" x14ac:dyDescent="0.25">
      <c r="A28" s="2">
        <v>529</v>
      </c>
      <c r="B28" s="58">
        <v>52901</v>
      </c>
      <c r="C28" s="269" t="s">
        <v>251</v>
      </c>
      <c r="D28" s="269"/>
      <c r="E28" s="5"/>
      <c r="F28" s="162"/>
      <c r="G28" s="161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7"/>
      <c r="T28" s="152"/>
    </row>
    <row r="29" spans="1:31" s="4" customFormat="1" ht="23.4" x14ac:dyDescent="0.25">
      <c r="B29" s="48"/>
      <c r="C29" s="199" t="s">
        <v>366</v>
      </c>
      <c r="D29" s="4">
        <v>0</v>
      </c>
      <c r="E29" s="5">
        <v>2700</v>
      </c>
      <c r="F29" s="5">
        <f>+E29*D29</f>
        <v>0</v>
      </c>
      <c r="G29" s="146"/>
      <c r="H29" s="85">
        <f>$E$29*0</f>
        <v>0</v>
      </c>
      <c r="I29" s="85">
        <f t="shared" ref="I29:S29" si="31">$E$29*0</f>
        <v>0</v>
      </c>
      <c r="J29" s="85">
        <f t="shared" si="31"/>
        <v>0</v>
      </c>
      <c r="K29" s="85">
        <f t="shared" si="31"/>
        <v>0</v>
      </c>
      <c r="L29" s="85">
        <f t="shared" si="31"/>
        <v>0</v>
      </c>
      <c r="M29" s="85">
        <f t="shared" si="31"/>
        <v>0</v>
      </c>
      <c r="N29" s="85">
        <f t="shared" si="31"/>
        <v>0</v>
      </c>
      <c r="O29" s="85">
        <f t="shared" si="31"/>
        <v>0</v>
      </c>
      <c r="P29" s="85">
        <f t="shared" si="31"/>
        <v>0</v>
      </c>
      <c r="Q29" s="85">
        <f t="shared" si="31"/>
        <v>0</v>
      </c>
      <c r="R29" s="85">
        <f t="shared" si="31"/>
        <v>0</v>
      </c>
      <c r="S29" s="85">
        <f t="shared" si="31"/>
        <v>0</v>
      </c>
      <c r="T29" s="152">
        <f>SUM(H29:S29)</f>
        <v>0</v>
      </c>
    </row>
    <row r="30" spans="1:31" s="4" customFormat="1" x14ac:dyDescent="0.25">
      <c r="B30" s="48"/>
      <c r="C30" s="4" t="s">
        <v>301</v>
      </c>
      <c r="D30" s="4">
        <v>0</v>
      </c>
      <c r="E30" s="5">
        <v>1100</v>
      </c>
      <c r="F30" s="5">
        <f>+E30*D30</f>
        <v>0</v>
      </c>
      <c r="G30" s="146"/>
      <c r="H30" s="85">
        <f>$E$30*0</f>
        <v>0</v>
      </c>
      <c r="I30" s="85">
        <f t="shared" ref="I30:S30" si="32">$E$30*0</f>
        <v>0</v>
      </c>
      <c r="J30" s="85">
        <f t="shared" si="32"/>
        <v>0</v>
      </c>
      <c r="K30" s="85">
        <f t="shared" si="32"/>
        <v>0</v>
      </c>
      <c r="L30" s="85">
        <f t="shared" si="32"/>
        <v>0</v>
      </c>
      <c r="M30" s="85">
        <f t="shared" si="32"/>
        <v>0</v>
      </c>
      <c r="N30" s="85">
        <f t="shared" si="32"/>
        <v>0</v>
      </c>
      <c r="O30" s="85">
        <f t="shared" si="32"/>
        <v>0</v>
      </c>
      <c r="P30" s="85">
        <f t="shared" si="32"/>
        <v>0</v>
      </c>
      <c r="Q30" s="85">
        <f t="shared" si="32"/>
        <v>0</v>
      </c>
      <c r="R30" s="85">
        <f t="shared" si="32"/>
        <v>0</v>
      </c>
      <c r="S30" s="85">
        <f t="shared" si="32"/>
        <v>0</v>
      </c>
      <c r="T30" s="152">
        <f>SUM(H30:S30)</f>
        <v>0</v>
      </c>
    </row>
    <row r="31" spans="1:31" s="4" customFormat="1" x14ac:dyDescent="0.25">
      <c r="B31" s="48"/>
      <c r="C31" s="4" t="s">
        <v>303</v>
      </c>
      <c r="D31" s="4">
        <v>0</v>
      </c>
      <c r="E31" s="5">
        <v>70</v>
      </c>
      <c r="F31" s="5">
        <f t="shared" ref="F31:F32" si="33">+E31*D31</f>
        <v>0</v>
      </c>
      <c r="G31" s="146"/>
      <c r="H31" s="85">
        <f>$E$31*0</f>
        <v>0</v>
      </c>
      <c r="I31" s="85">
        <f t="shared" ref="I31:S31" si="34">$E$31*0</f>
        <v>0</v>
      </c>
      <c r="J31" s="85">
        <f t="shared" si="34"/>
        <v>0</v>
      </c>
      <c r="K31" s="85">
        <f t="shared" si="34"/>
        <v>0</v>
      </c>
      <c r="L31" s="85">
        <f t="shared" si="34"/>
        <v>0</v>
      </c>
      <c r="M31" s="85">
        <f t="shared" si="34"/>
        <v>0</v>
      </c>
      <c r="N31" s="85">
        <f t="shared" si="34"/>
        <v>0</v>
      </c>
      <c r="O31" s="85">
        <f t="shared" si="34"/>
        <v>0</v>
      </c>
      <c r="P31" s="85">
        <f t="shared" si="34"/>
        <v>0</v>
      </c>
      <c r="Q31" s="85">
        <f t="shared" si="34"/>
        <v>0</v>
      </c>
      <c r="R31" s="85">
        <f t="shared" si="34"/>
        <v>0</v>
      </c>
      <c r="S31" s="85">
        <f t="shared" si="34"/>
        <v>0</v>
      </c>
      <c r="T31" s="152">
        <f t="shared" ref="T31:T32" si="35">SUM(H31:S31)</f>
        <v>0</v>
      </c>
    </row>
    <row r="32" spans="1:31" s="4" customFormat="1" ht="13.8" thickBot="1" x14ac:dyDescent="0.3">
      <c r="B32" s="48"/>
      <c r="C32" s="4" t="s">
        <v>304</v>
      </c>
      <c r="D32" s="4">
        <v>0</v>
      </c>
      <c r="E32" s="5">
        <v>300</v>
      </c>
      <c r="F32" s="5">
        <f t="shared" si="33"/>
        <v>0</v>
      </c>
      <c r="G32" s="146"/>
      <c r="H32" s="85">
        <f>$E$32*0</f>
        <v>0</v>
      </c>
      <c r="I32" s="85">
        <f t="shared" ref="I32:S32" si="36">$E$32*0</f>
        <v>0</v>
      </c>
      <c r="J32" s="85">
        <f t="shared" si="36"/>
        <v>0</v>
      </c>
      <c r="K32" s="85">
        <f t="shared" si="36"/>
        <v>0</v>
      </c>
      <c r="L32" s="85">
        <f t="shared" si="36"/>
        <v>0</v>
      </c>
      <c r="M32" s="85">
        <f t="shared" si="36"/>
        <v>0</v>
      </c>
      <c r="N32" s="85">
        <f t="shared" si="36"/>
        <v>0</v>
      </c>
      <c r="O32" s="85">
        <f t="shared" si="36"/>
        <v>0</v>
      </c>
      <c r="P32" s="85">
        <f t="shared" si="36"/>
        <v>0</v>
      </c>
      <c r="Q32" s="85">
        <f t="shared" si="36"/>
        <v>0</v>
      </c>
      <c r="R32" s="85">
        <f t="shared" si="36"/>
        <v>0</v>
      </c>
      <c r="S32" s="85">
        <f t="shared" si="36"/>
        <v>0</v>
      </c>
      <c r="T32" s="152">
        <f t="shared" si="35"/>
        <v>0</v>
      </c>
    </row>
    <row r="33" spans="1:31" s="10" customFormat="1" ht="16.2" thickBot="1" x14ac:dyDescent="0.35">
      <c r="A33" s="92"/>
      <c r="B33" s="92"/>
      <c r="C33" s="264" t="s">
        <v>252</v>
      </c>
      <c r="D33" s="265"/>
      <c r="E33" s="265"/>
      <c r="F33" s="266"/>
      <c r="G33" s="94">
        <f>SUM(F29:F32)</f>
        <v>0</v>
      </c>
      <c r="H33" s="94">
        <f t="shared" ref="H33:T33" si="37">SUM(H29:H32)</f>
        <v>0</v>
      </c>
      <c r="I33" s="94">
        <f t="shared" si="37"/>
        <v>0</v>
      </c>
      <c r="J33" s="94">
        <f t="shared" si="37"/>
        <v>0</v>
      </c>
      <c r="K33" s="94">
        <f t="shared" si="37"/>
        <v>0</v>
      </c>
      <c r="L33" s="94">
        <f t="shared" si="37"/>
        <v>0</v>
      </c>
      <c r="M33" s="94">
        <f t="shared" si="37"/>
        <v>0</v>
      </c>
      <c r="N33" s="94">
        <f t="shared" si="37"/>
        <v>0</v>
      </c>
      <c r="O33" s="94">
        <f t="shared" si="37"/>
        <v>0</v>
      </c>
      <c r="P33" s="94">
        <f t="shared" si="37"/>
        <v>0</v>
      </c>
      <c r="Q33" s="94">
        <f t="shared" si="37"/>
        <v>0</v>
      </c>
      <c r="R33" s="94">
        <f t="shared" si="37"/>
        <v>0</v>
      </c>
      <c r="S33" s="94">
        <f t="shared" si="37"/>
        <v>0</v>
      </c>
      <c r="T33" s="94">
        <f t="shared" si="37"/>
        <v>0</v>
      </c>
    </row>
    <row r="34" spans="1:31" x14ac:dyDescent="0.25">
      <c r="B34" s="48"/>
      <c r="E34" s="5"/>
      <c r="F34" s="5"/>
      <c r="G34" s="16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153"/>
      <c r="T34" s="197"/>
      <c r="U34" s="5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4" customFormat="1" x14ac:dyDescent="0.25">
      <c r="A35" s="2">
        <v>541</v>
      </c>
      <c r="B35" s="58">
        <v>54101</v>
      </c>
      <c r="C35" s="2" t="s">
        <v>253</v>
      </c>
      <c r="G35" s="146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151"/>
      <c r="T35" s="198"/>
    </row>
    <row r="36" spans="1:31" s="4" customFormat="1" x14ac:dyDescent="0.25">
      <c r="B36" s="48"/>
      <c r="C36" s="4" t="s">
        <v>434</v>
      </c>
      <c r="D36" s="4">
        <v>0</v>
      </c>
      <c r="E36" s="5">
        <v>221400</v>
      </c>
      <c r="F36" s="5">
        <f>E36*D36</f>
        <v>0</v>
      </c>
      <c r="G36" s="146"/>
      <c r="H36" s="85">
        <f>$E$36*0</f>
        <v>0</v>
      </c>
      <c r="I36" s="85">
        <f t="shared" ref="I36:S36" si="38">$E$36*0</f>
        <v>0</v>
      </c>
      <c r="J36" s="85">
        <f t="shared" si="38"/>
        <v>0</v>
      </c>
      <c r="K36" s="85">
        <f t="shared" si="38"/>
        <v>0</v>
      </c>
      <c r="L36" s="85">
        <f t="shared" si="38"/>
        <v>0</v>
      </c>
      <c r="M36" s="85">
        <f t="shared" si="38"/>
        <v>0</v>
      </c>
      <c r="N36" s="85">
        <f t="shared" si="38"/>
        <v>0</v>
      </c>
      <c r="O36" s="85">
        <f t="shared" si="38"/>
        <v>0</v>
      </c>
      <c r="P36" s="85">
        <f t="shared" si="38"/>
        <v>0</v>
      </c>
      <c r="Q36" s="85">
        <f t="shared" si="38"/>
        <v>0</v>
      </c>
      <c r="R36" s="85">
        <f t="shared" si="38"/>
        <v>0</v>
      </c>
      <c r="S36" s="85">
        <f t="shared" si="38"/>
        <v>0</v>
      </c>
      <c r="T36" s="152">
        <f>SUM(H36:S36)</f>
        <v>0</v>
      </c>
    </row>
    <row r="37" spans="1:31" s="4" customFormat="1" ht="13.8" thickBot="1" x14ac:dyDescent="0.3">
      <c r="B37" s="48"/>
      <c r="C37" s="4" t="s">
        <v>320</v>
      </c>
      <c r="D37" s="4">
        <v>1</v>
      </c>
      <c r="E37" s="5">
        <v>1360.42</v>
      </c>
      <c r="F37" s="5">
        <f>E37*D37</f>
        <v>1360.42</v>
      </c>
      <c r="G37" s="146"/>
      <c r="H37" s="164">
        <f>$E$37*1</f>
        <v>1360.42</v>
      </c>
      <c r="I37" s="164">
        <f>$E$37*0</f>
        <v>0</v>
      </c>
      <c r="J37" s="164">
        <f t="shared" ref="J37:K37" si="39">$E$37*0</f>
        <v>0</v>
      </c>
      <c r="K37" s="164">
        <f t="shared" si="39"/>
        <v>0</v>
      </c>
      <c r="L37" s="164">
        <f t="shared" ref="L37:S37" si="40">$E$37*0</f>
        <v>0</v>
      </c>
      <c r="M37" s="164">
        <f t="shared" si="40"/>
        <v>0</v>
      </c>
      <c r="N37" s="164">
        <f t="shared" si="40"/>
        <v>0</v>
      </c>
      <c r="O37" s="164">
        <f t="shared" si="40"/>
        <v>0</v>
      </c>
      <c r="P37" s="164">
        <f t="shared" si="40"/>
        <v>0</v>
      </c>
      <c r="Q37" s="164">
        <f t="shared" si="40"/>
        <v>0</v>
      </c>
      <c r="R37" s="164">
        <f t="shared" si="40"/>
        <v>0</v>
      </c>
      <c r="S37" s="164">
        <f t="shared" si="40"/>
        <v>0</v>
      </c>
      <c r="T37" s="165">
        <f>SUM(H37:S37)</f>
        <v>1360.42</v>
      </c>
    </row>
    <row r="38" spans="1:31" s="10" customFormat="1" ht="16.2" thickBot="1" x14ac:dyDescent="0.35">
      <c r="A38" s="92"/>
      <c r="B38" s="92"/>
      <c r="C38" s="264" t="s">
        <v>254</v>
      </c>
      <c r="D38" s="265"/>
      <c r="E38" s="265"/>
      <c r="F38" s="266"/>
      <c r="G38" s="94">
        <f>SUM(F36:F37)</f>
        <v>1360.42</v>
      </c>
      <c r="H38" s="94">
        <f t="shared" ref="H38:T38" si="41">SUM(H36:H37)</f>
        <v>1360.42</v>
      </c>
      <c r="I38" s="94">
        <f t="shared" si="41"/>
        <v>0</v>
      </c>
      <c r="J38" s="94">
        <f t="shared" si="41"/>
        <v>0</v>
      </c>
      <c r="K38" s="94">
        <f t="shared" si="41"/>
        <v>0</v>
      </c>
      <c r="L38" s="94">
        <f t="shared" si="41"/>
        <v>0</v>
      </c>
      <c r="M38" s="94">
        <f t="shared" si="41"/>
        <v>0</v>
      </c>
      <c r="N38" s="94">
        <f t="shared" si="41"/>
        <v>0</v>
      </c>
      <c r="O38" s="94">
        <f t="shared" si="41"/>
        <v>0</v>
      </c>
      <c r="P38" s="94">
        <f t="shared" si="41"/>
        <v>0</v>
      </c>
      <c r="Q38" s="94">
        <f t="shared" si="41"/>
        <v>0</v>
      </c>
      <c r="R38" s="94">
        <f t="shared" si="41"/>
        <v>0</v>
      </c>
      <c r="S38" s="94">
        <f t="shared" si="41"/>
        <v>0</v>
      </c>
      <c r="T38" s="94">
        <f t="shared" si="41"/>
        <v>1360.42</v>
      </c>
    </row>
    <row r="39" spans="1:31" x14ac:dyDescent="0.25">
      <c r="B39" s="48"/>
      <c r="E39" s="5"/>
      <c r="F39" s="5"/>
      <c r="G39" s="16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153"/>
      <c r="T39" s="197"/>
      <c r="U39" s="5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s="4" customFormat="1" x14ac:dyDescent="0.25">
      <c r="A40" s="2">
        <v>562</v>
      </c>
      <c r="B40" s="58">
        <v>56201</v>
      </c>
      <c r="C40" s="2" t="s">
        <v>75</v>
      </c>
      <c r="E40" s="5"/>
      <c r="F40" s="5"/>
      <c r="G40" s="161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151"/>
      <c r="T40" s="198"/>
    </row>
    <row r="41" spans="1:31" s="4" customFormat="1" x14ac:dyDescent="0.25">
      <c r="B41" s="48"/>
      <c r="C41" s="4" t="s">
        <v>295</v>
      </c>
      <c r="D41" s="4">
        <v>0</v>
      </c>
      <c r="E41" s="5">
        <v>2250</v>
      </c>
      <c r="F41" s="5">
        <f t="shared" ref="F41:F44" si="42">+E41*D41</f>
        <v>0</v>
      </c>
      <c r="G41" s="161"/>
      <c r="H41" s="85">
        <f>$E$41*0</f>
        <v>0</v>
      </c>
      <c r="I41" s="85">
        <f>$E$41*0</f>
        <v>0</v>
      </c>
      <c r="J41" s="85">
        <f t="shared" ref="J41:S41" si="43">$E$41*0</f>
        <v>0</v>
      </c>
      <c r="K41" s="85">
        <f t="shared" si="43"/>
        <v>0</v>
      </c>
      <c r="L41" s="85">
        <f t="shared" si="43"/>
        <v>0</v>
      </c>
      <c r="M41" s="85">
        <f t="shared" si="43"/>
        <v>0</v>
      </c>
      <c r="N41" s="85">
        <f t="shared" si="43"/>
        <v>0</v>
      </c>
      <c r="O41" s="85">
        <f t="shared" si="43"/>
        <v>0</v>
      </c>
      <c r="P41" s="85">
        <f t="shared" si="43"/>
        <v>0</v>
      </c>
      <c r="Q41" s="85">
        <f t="shared" si="43"/>
        <v>0</v>
      </c>
      <c r="R41" s="85">
        <f t="shared" si="43"/>
        <v>0</v>
      </c>
      <c r="S41" s="85">
        <f t="shared" si="43"/>
        <v>0</v>
      </c>
      <c r="T41" s="152">
        <f t="shared" ref="T41:T44" si="44">SUM(H41:S41)</f>
        <v>0</v>
      </c>
    </row>
    <row r="42" spans="1:31" s="4" customFormat="1" x14ac:dyDescent="0.25">
      <c r="B42" s="48"/>
      <c r="C42" s="4" t="s">
        <v>435</v>
      </c>
      <c r="D42" s="4">
        <v>1</v>
      </c>
      <c r="E42" s="5">
        <v>0</v>
      </c>
      <c r="F42" s="5">
        <f t="shared" si="42"/>
        <v>0</v>
      </c>
      <c r="G42" s="161"/>
      <c r="H42" s="85">
        <f>$E$42*1</f>
        <v>0</v>
      </c>
      <c r="I42" s="85">
        <f>$E$42*0</f>
        <v>0</v>
      </c>
      <c r="J42" s="85">
        <f>$E$42*0</f>
        <v>0</v>
      </c>
      <c r="K42" s="85">
        <f>$E$42*0</f>
        <v>0</v>
      </c>
      <c r="L42" s="85">
        <f t="shared" ref="L42:S42" si="45">$E$42*0</f>
        <v>0</v>
      </c>
      <c r="M42" s="85">
        <f t="shared" si="45"/>
        <v>0</v>
      </c>
      <c r="N42" s="85">
        <f t="shared" si="45"/>
        <v>0</v>
      </c>
      <c r="O42" s="85">
        <f t="shared" si="45"/>
        <v>0</v>
      </c>
      <c r="P42" s="85">
        <f t="shared" si="45"/>
        <v>0</v>
      </c>
      <c r="Q42" s="85">
        <f t="shared" si="45"/>
        <v>0</v>
      </c>
      <c r="R42" s="85">
        <f t="shared" si="45"/>
        <v>0</v>
      </c>
      <c r="S42" s="85">
        <f t="shared" si="45"/>
        <v>0</v>
      </c>
      <c r="T42" s="152">
        <f t="shared" si="44"/>
        <v>0</v>
      </c>
    </row>
    <row r="43" spans="1:31" s="4" customFormat="1" x14ac:dyDescent="0.25">
      <c r="B43" s="48"/>
      <c r="C43" s="4" t="s">
        <v>302</v>
      </c>
      <c r="D43" s="4">
        <v>0</v>
      </c>
      <c r="E43" s="5">
        <v>7000</v>
      </c>
      <c r="F43" s="5">
        <f t="shared" si="42"/>
        <v>0</v>
      </c>
      <c r="G43" s="161"/>
      <c r="H43" s="85">
        <f>$E$43*0</f>
        <v>0</v>
      </c>
      <c r="I43" s="85">
        <f>$E$43*0</f>
        <v>0</v>
      </c>
      <c r="J43" s="85">
        <f>$E$43*0</f>
        <v>0</v>
      </c>
      <c r="K43" s="85">
        <f>$E$43*0</f>
        <v>0</v>
      </c>
      <c r="L43" s="85">
        <f t="shared" ref="L43:S43" si="46">$E$43*0</f>
        <v>0</v>
      </c>
      <c r="M43" s="85">
        <f t="shared" si="46"/>
        <v>0</v>
      </c>
      <c r="N43" s="85">
        <f t="shared" si="46"/>
        <v>0</v>
      </c>
      <c r="O43" s="85">
        <f t="shared" si="46"/>
        <v>0</v>
      </c>
      <c r="P43" s="85">
        <f t="shared" si="46"/>
        <v>0</v>
      </c>
      <c r="Q43" s="85">
        <f t="shared" si="46"/>
        <v>0</v>
      </c>
      <c r="R43" s="85">
        <f t="shared" si="46"/>
        <v>0</v>
      </c>
      <c r="S43" s="85">
        <f t="shared" si="46"/>
        <v>0</v>
      </c>
      <c r="T43" s="152">
        <f t="shared" si="44"/>
        <v>0</v>
      </c>
    </row>
    <row r="44" spans="1:31" s="4" customFormat="1" ht="27" thickBot="1" x14ac:dyDescent="0.3">
      <c r="B44" s="48"/>
      <c r="C44" s="56" t="s">
        <v>296</v>
      </c>
      <c r="D44" s="4">
        <v>0</v>
      </c>
      <c r="E44" s="5">
        <v>2360</v>
      </c>
      <c r="F44" s="5">
        <f t="shared" si="42"/>
        <v>0</v>
      </c>
      <c r="G44" s="161"/>
      <c r="H44" s="164">
        <f>$E$44*0</f>
        <v>0</v>
      </c>
      <c r="I44" s="164">
        <f>$E$44*0</f>
        <v>0</v>
      </c>
      <c r="J44" s="164">
        <f t="shared" ref="J44:S44" si="47">$E$44*0</f>
        <v>0</v>
      </c>
      <c r="K44" s="164">
        <f t="shared" si="47"/>
        <v>0</v>
      </c>
      <c r="L44" s="164">
        <f t="shared" si="47"/>
        <v>0</v>
      </c>
      <c r="M44" s="164">
        <f t="shared" si="47"/>
        <v>0</v>
      </c>
      <c r="N44" s="164">
        <f t="shared" si="47"/>
        <v>0</v>
      </c>
      <c r="O44" s="164">
        <f t="shared" si="47"/>
        <v>0</v>
      </c>
      <c r="P44" s="164">
        <f t="shared" si="47"/>
        <v>0</v>
      </c>
      <c r="Q44" s="164">
        <f t="shared" si="47"/>
        <v>0</v>
      </c>
      <c r="R44" s="164">
        <f t="shared" si="47"/>
        <v>0</v>
      </c>
      <c r="S44" s="164">
        <f t="shared" si="47"/>
        <v>0</v>
      </c>
      <c r="T44" s="165">
        <f t="shared" si="44"/>
        <v>0</v>
      </c>
    </row>
    <row r="45" spans="1:31" s="10" customFormat="1" ht="16.2" thickBot="1" x14ac:dyDescent="0.35">
      <c r="A45" s="92"/>
      <c r="B45" s="92"/>
      <c r="C45" s="264" t="s">
        <v>76</v>
      </c>
      <c r="D45" s="265"/>
      <c r="E45" s="265"/>
      <c r="F45" s="266"/>
      <c r="G45" s="94">
        <f>SUM(F41:F44)</f>
        <v>0</v>
      </c>
      <c r="H45" s="94">
        <f t="shared" ref="H45:T45" si="48">SUM(H41:H44)</f>
        <v>0</v>
      </c>
      <c r="I45" s="94">
        <f t="shared" si="48"/>
        <v>0</v>
      </c>
      <c r="J45" s="94">
        <f t="shared" si="48"/>
        <v>0</v>
      </c>
      <c r="K45" s="94">
        <f t="shared" si="48"/>
        <v>0</v>
      </c>
      <c r="L45" s="94">
        <f t="shared" si="48"/>
        <v>0</v>
      </c>
      <c r="M45" s="94">
        <f t="shared" si="48"/>
        <v>0</v>
      </c>
      <c r="N45" s="94">
        <f t="shared" si="48"/>
        <v>0</v>
      </c>
      <c r="O45" s="94">
        <f t="shared" si="48"/>
        <v>0</v>
      </c>
      <c r="P45" s="94">
        <f t="shared" si="48"/>
        <v>0</v>
      </c>
      <c r="Q45" s="94">
        <f t="shared" si="48"/>
        <v>0</v>
      </c>
      <c r="R45" s="94">
        <f t="shared" si="48"/>
        <v>0</v>
      </c>
      <c r="S45" s="94">
        <f t="shared" si="48"/>
        <v>0</v>
      </c>
      <c r="T45" s="94">
        <f t="shared" si="48"/>
        <v>0</v>
      </c>
    </row>
    <row r="46" spans="1:31" x14ac:dyDescent="0.25">
      <c r="B46" s="48"/>
      <c r="E46" s="5"/>
      <c r="F46" s="5"/>
      <c r="G46" s="16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153"/>
      <c r="T46" s="197"/>
      <c r="U46" s="5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s="4" customFormat="1" x14ac:dyDescent="0.25">
      <c r="A47" s="2">
        <v>565</v>
      </c>
      <c r="B47" s="58">
        <v>56501</v>
      </c>
      <c r="C47" s="269" t="s">
        <v>255</v>
      </c>
      <c r="D47" s="269"/>
      <c r="E47" s="2"/>
      <c r="F47" s="5"/>
      <c r="G47" s="161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151"/>
      <c r="T47" s="198"/>
    </row>
    <row r="48" spans="1:31" s="4" customFormat="1" ht="26.4" x14ac:dyDescent="0.25">
      <c r="B48" s="58"/>
      <c r="C48" s="56" t="s">
        <v>309</v>
      </c>
      <c r="D48" s="4">
        <v>0</v>
      </c>
      <c r="E48" s="5">
        <v>1200</v>
      </c>
      <c r="F48" s="5">
        <f>+E48*D48</f>
        <v>0</v>
      </c>
      <c r="G48" s="161"/>
      <c r="H48" s="85">
        <f>$E$48*0</f>
        <v>0</v>
      </c>
      <c r="I48" s="85">
        <f>$E$48*0</f>
        <v>0</v>
      </c>
      <c r="J48" s="85">
        <f t="shared" ref="J48" si="49">$E$48*0</f>
        <v>0</v>
      </c>
      <c r="K48" s="85">
        <f t="shared" ref="K48:S48" si="50">$E$48*0</f>
        <v>0</v>
      </c>
      <c r="L48" s="85">
        <f t="shared" si="50"/>
        <v>0</v>
      </c>
      <c r="M48" s="85">
        <f t="shared" si="50"/>
        <v>0</v>
      </c>
      <c r="N48" s="85">
        <f t="shared" si="50"/>
        <v>0</v>
      </c>
      <c r="O48" s="85">
        <f t="shared" si="50"/>
        <v>0</v>
      </c>
      <c r="P48" s="85">
        <f t="shared" si="50"/>
        <v>0</v>
      </c>
      <c r="Q48" s="85">
        <f t="shared" si="50"/>
        <v>0</v>
      </c>
      <c r="R48" s="85">
        <f t="shared" si="50"/>
        <v>0</v>
      </c>
      <c r="S48" s="85">
        <f t="shared" si="50"/>
        <v>0</v>
      </c>
      <c r="T48" s="152">
        <f>SUM(H48:S48)</f>
        <v>0</v>
      </c>
    </row>
    <row r="49" spans="1:31" s="4" customFormat="1" x14ac:dyDescent="0.25">
      <c r="B49" s="58"/>
      <c r="C49" s="4" t="s">
        <v>339</v>
      </c>
      <c r="D49" s="4">
        <v>2</v>
      </c>
      <c r="E49" s="5">
        <v>600</v>
      </c>
      <c r="F49" s="5">
        <f>+E49*D49</f>
        <v>1200</v>
      </c>
      <c r="G49" s="161"/>
      <c r="H49" s="85">
        <f>$E$49*2</f>
        <v>1200</v>
      </c>
      <c r="I49" s="85">
        <f t="shared" ref="I49:K49" si="51">$E$49*0</f>
        <v>0</v>
      </c>
      <c r="J49" s="85">
        <f t="shared" si="51"/>
        <v>0</v>
      </c>
      <c r="K49" s="85">
        <f t="shared" si="51"/>
        <v>0</v>
      </c>
      <c r="L49" s="85">
        <f t="shared" ref="L49:S49" si="52">$E$49*0</f>
        <v>0</v>
      </c>
      <c r="M49" s="85">
        <f t="shared" si="52"/>
        <v>0</v>
      </c>
      <c r="N49" s="85">
        <f t="shared" si="52"/>
        <v>0</v>
      </c>
      <c r="O49" s="85">
        <f t="shared" si="52"/>
        <v>0</v>
      </c>
      <c r="P49" s="85">
        <f t="shared" si="52"/>
        <v>0</v>
      </c>
      <c r="Q49" s="85">
        <f t="shared" si="52"/>
        <v>0</v>
      </c>
      <c r="R49" s="85">
        <f t="shared" si="52"/>
        <v>0</v>
      </c>
      <c r="S49" s="85">
        <f t="shared" si="52"/>
        <v>0</v>
      </c>
      <c r="T49" s="152">
        <f>SUM(H49:S49)</f>
        <v>1200</v>
      </c>
    </row>
    <row r="50" spans="1:31" s="4" customFormat="1" ht="27" thickBot="1" x14ac:dyDescent="0.3">
      <c r="B50" s="58"/>
      <c r="C50" s="56" t="s">
        <v>319</v>
      </c>
      <c r="D50" s="4">
        <v>0</v>
      </c>
      <c r="E50" s="5">
        <v>900</v>
      </c>
      <c r="F50" s="5">
        <f>+E50*D50</f>
        <v>0</v>
      </c>
      <c r="G50" s="161"/>
      <c r="H50" s="85">
        <f>$E$50*0</f>
        <v>0</v>
      </c>
      <c r="I50" s="85">
        <f t="shared" ref="I50:J50" si="53">$E$50*0</f>
        <v>0</v>
      </c>
      <c r="J50" s="85">
        <f t="shared" si="53"/>
        <v>0</v>
      </c>
      <c r="K50" s="85">
        <f t="shared" ref="K50:S50" si="54">$E$50*0</f>
        <v>0</v>
      </c>
      <c r="L50" s="85">
        <f t="shared" si="54"/>
        <v>0</v>
      </c>
      <c r="M50" s="85">
        <f t="shared" si="54"/>
        <v>0</v>
      </c>
      <c r="N50" s="85">
        <f t="shared" si="54"/>
        <v>0</v>
      </c>
      <c r="O50" s="85">
        <f t="shared" si="54"/>
        <v>0</v>
      </c>
      <c r="P50" s="85">
        <f t="shared" si="54"/>
        <v>0</v>
      </c>
      <c r="Q50" s="85">
        <f t="shared" si="54"/>
        <v>0</v>
      </c>
      <c r="R50" s="85">
        <f t="shared" si="54"/>
        <v>0</v>
      </c>
      <c r="S50" s="85">
        <f t="shared" si="54"/>
        <v>0</v>
      </c>
      <c r="T50" s="152">
        <f>SUM(H50:S50)</f>
        <v>0</v>
      </c>
    </row>
    <row r="51" spans="1:31" s="10" customFormat="1" ht="16.2" thickBot="1" x14ac:dyDescent="0.35">
      <c r="A51" s="92"/>
      <c r="B51" s="92"/>
      <c r="C51" s="264" t="s">
        <v>256</v>
      </c>
      <c r="D51" s="265"/>
      <c r="E51" s="265"/>
      <c r="F51" s="266"/>
      <c r="G51" s="94">
        <f>SUM(F48:F50)</f>
        <v>1200</v>
      </c>
      <c r="H51" s="94">
        <f t="shared" ref="H51:T51" si="55">SUM(H48:H50)</f>
        <v>1200</v>
      </c>
      <c r="I51" s="94">
        <f t="shared" si="55"/>
        <v>0</v>
      </c>
      <c r="J51" s="94">
        <f t="shared" si="55"/>
        <v>0</v>
      </c>
      <c r="K51" s="94">
        <f t="shared" si="55"/>
        <v>0</v>
      </c>
      <c r="L51" s="94">
        <f t="shared" si="55"/>
        <v>0</v>
      </c>
      <c r="M51" s="94">
        <f t="shared" si="55"/>
        <v>0</v>
      </c>
      <c r="N51" s="94">
        <f t="shared" si="55"/>
        <v>0</v>
      </c>
      <c r="O51" s="94">
        <f t="shared" si="55"/>
        <v>0</v>
      </c>
      <c r="P51" s="94">
        <f t="shared" si="55"/>
        <v>0</v>
      </c>
      <c r="Q51" s="94">
        <f t="shared" si="55"/>
        <v>0</v>
      </c>
      <c r="R51" s="94">
        <f t="shared" si="55"/>
        <v>0</v>
      </c>
      <c r="S51" s="94">
        <f t="shared" si="55"/>
        <v>0</v>
      </c>
      <c r="T51" s="94">
        <f t="shared" si="55"/>
        <v>1200</v>
      </c>
    </row>
    <row r="52" spans="1:31" x14ac:dyDescent="0.25">
      <c r="B52" s="48"/>
      <c r="G52" s="146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153"/>
      <c r="T52" s="197"/>
      <c r="U52" s="5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s="4" customFormat="1" x14ac:dyDescent="0.25">
      <c r="A53" s="2">
        <v>591</v>
      </c>
      <c r="B53" s="58">
        <v>59101</v>
      </c>
      <c r="C53" s="2" t="s">
        <v>67</v>
      </c>
      <c r="F53" s="162"/>
      <c r="G53" s="161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7"/>
      <c r="T53" s="152"/>
    </row>
    <row r="54" spans="1:31" s="4" customFormat="1" x14ac:dyDescent="0.25">
      <c r="B54" s="48"/>
      <c r="C54" s="4" t="s">
        <v>268</v>
      </c>
      <c r="D54" s="4">
        <v>0</v>
      </c>
      <c r="E54" s="5">
        <v>0</v>
      </c>
      <c r="F54" s="5">
        <f>E54*D54</f>
        <v>0</v>
      </c>
      <c r="G54" s="161"/>
      <c r="H54" s="85">
        <f t="shared" ref="H54:S54" si="56">$E$54*0</f>
        <v>0</v>
      </c>
      <c r="I54" s="85">
        <f t="shared" si="56"/>
        <v>0</v>
      </c>
      <c r="J54" s="85">
        <f t="shared" si="56"/>
        <v>0</v>
      </c>
      <c r="K54" s="85">
        <f t="shared" si="56"/>
        <v>0</v>
      </c>
      <c r="L54" s="85">
        <f t="shared" si="56"/>
        <v>0</v>
      </c>
      <c r="M54" s="85">
        <f t="shared" si="56"/>
        <v>0</v>
      </c>
      <c r="N54" s="85">
        <f t="shared" si="56"/>
        <v>0</v>
      </c>
      <c r="O54" s="85">
        <f t="shared" si="56"/>
        <v>0</v>
      </c>
      <c r="P54" s="85">
        <f t="shared" si="56"/>
        <v>0</v>
      </c>
      <c r="Q54" s="85">
        <f t="shared" si="56"/>
        <v>0</v>
      </c>
      <c r="R54" s="85">
        <f t="shared" si="56"/>
        <v>0</v>
      </c>
      <c r="S54" s="85">
        <f t="shared" si="56"/>
        <v>0</v>
      </c>
      <c r="T54" s="152">
        <f>SUM(H54:S54)</f>
        <v>0</v>
      </c>
    </row>
    <row r="55" spans="1:31" s="4" customFormat="1" x14ac:dyDescent="0.25">
      <c r="B55" s="48"/>
      <c r="C55" s="4" t="s">
        <v>265</v>
      </c>
      <c r="D55" s="4">
        <v>0</v>
      </c>
      <c r="E55" s="5">
        <v>0</v>
      </c>
      <c r="F55" s="5">
        <f>E55*D55</f>
        <v>0</v>
      </c>
      <c r="G55" s="161"/>
      <c r="H55" s="85">
        <f>$E$55*0</f>
        <v>0</v>
      </c>
      <c r="I55" s="85">
        <f>$E$55*0</f>
        <v>0</v>
      </c>
      <c r="J55" s="85">
        <f t="shared" ref="J55:S55" si="57">$E$55*0</f>
        <v>0</v>
      </c>
      <c r="K55" s="85">
        <f t="shared" si="57"/>
        <v>0</v>
      </c>
      <c r="L55" s="85">
        <f t="shared" si="57"/>
        <v>0</v>
      </c>
      <c r="M55" s="85">
        <f t="shared" si="57"/>
        <v>0</v>
      </c>
      <c r="N55" s="85">
        <f t="shared" si="57"/>
        <v>0</v>
      </c>
      <c r="O55" s="85">
        <f t="shared" si="57"/>
        <v>0</v>
      </c>
      <c r="P55" s="85">
        <f t="shared" si="57"/>
        <v>0</v>
      </c>
      <c r="Q55" s="85">
        <f t="shared" si="57"/>
        <v>0</v>
      </c>
      <c r="R55" s="85">
        <f t="shared" si="57"/>
        <v>0</v>
      </c>
      <c r="S55" s="85">
        <f t="shared" si="57"/>
        <v>0</v>
      </c>
      <c r="T55" s="152">
        <f>SUM(H55:S55)</f>
        <v>0</v>
      </c>
    </row>
    <row r="56" spans="1:31" s="4" customFormat="1" ht="13.8" thickBot="1" x14ac:dyDescent="0.3">
      <c r="B56" s="48"/>
      <c r="C56" s="4" t="s">
        <v>266</v>
      </c>
      <c r="D56" s="4">
        <v>0</v>
      </c>
      <c r="E56" s="5">
        <v>0</v>
      </c>
      <c r="F56" s="5">
        <f>E56*D56</f>
        <v>0</v>
      </c>
      <c r="G56" s="161"/>
      <c r="H56" s="85">
        <f>$E$56*0</f>
        <v>0</v>
      </c>
      <c r="I56" s="85">
        <f>$E$56*0</f>
        <v>0</v>
      </c>
      <c r="J56" s="85">
        <f t="shared" ref="J56:S56" si="58">$E$56*0</f>
        <v>0</v>
      </c>
      <c r="K56" s="85">
        <f t="shared" si="58"/>
        <v>0</v>
      </c>
      <c r="L56" s="85">
        <f t="shared" si="58"/>
        <v>0</v>
      </c>
      <c r="M56" s="85">
        <f t="shared" si="58"/>
        <v>0</v>
      </c>
      <c r="N56" s="85">
        <f t="shared" si="58"/>
        <v>0</v>
      </c>
      <c r="O56" s="85">
        <f t="shared" si="58"/>
        <v>0</v>
      </c>
      <c r="P56" s="85">
        <f t="shared" si="58"/>
        <v>0</v>
      </c>
      <c r="Q56" s="85">
        <f t="shared" si="58"/>
        <v>0</v>
      </c>
      <c r="R56" s="85">
        <f t="shared" si="58"/>
        <v>0</v>
      </c>
      <c r="S56" s="85">
        <f t="shared" si="58"/>
        <v>0</v>
      </c>
      <c r="T56" s="152">
        <f>SUM(H56:S56)</f>
        <v>0</v>
      </c>
    </row>
    <row r="57" spans="1:31" s="10" customFormat="1" ht="16.2" thickBot="1" x14ac:dyDescent="0.35">
      <c r="A57" s="92"/>
      <c r="B57" s="92"/>
      <c r="C57" s="264" t="s">
        <v>68</v>
      </c>
      <c r="D57" s="265"/>
      <c r="E57" s="265"/>
      <c r="F57" s="266"/>
      <c r="G57" s="94">
        <f>SUM(F54:F56)</f>
        <v>0</v>
      </c>
      <c r="H57" s="94">
        <f t="shared" ref="H57:T57" si="59">SUM(H54:H56)</f>
        <v>0</v>
      </c>
      <c r="I57" s="94">
        <f t="shared" si="59"/>
        <v>0</v>
      </c>
      <c r="J57" s="94">
        <f t="shared" si="59"/>
        <v>0</v>
      </c>
      <c r="K57" s="94">
        <f t="shared" si="59"/>
        <v>0</v>
      </c>
      <c r="L57" s="94">
        <f t="shared" si="59"/>
        <v>0</v>
      </c>
      <c r="M57" s="94">
        <f t="shared" si="59"/>
        <v>0</v>
      </c>
      <c r="N57" s="94">
        <f t="shared" si="59"/>
        <v>0</v>
      </c>
      <c r="O57" s="94">
        <f t="shared" si="59"/>
        <v>0</v>
      </c>
      <c r="P57" s="94">
        <f t="shared" si="59"/>
        <v>0</v>
      </c>
      <c r="Q57" s="94">
        <f t="shared" si="59"/>
        <v>0</v>
      </c>
      <c r="R57" s="94">
        <f t="shared" si="59"/>
        <v>0</v>
      </c>
      <c r="S57" s="94">
        <f t="shared" si="59"/>
        <v>0</v>
      </c>
      <c r="T57" s="94">
        <f t="shared" si="59"/>
        <v>0</v>
      </c>
    </row>
    <row r="58" spans="1:31" x14ac:dyDescent="0.25">
      <c r="B58" s="48"/>
      <c r="G58" s="146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153"/>
      <c r="T58" s="197"/>
      <c r="U58" s="5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3.8" thickBot="1" x14ac:dyDescent="0.3">
      <c r="B59" s="48"/>
      <c r="G59" s="146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6"/>
      <c r="T59" s="200"/>
      <c r="U59" s="5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s="10" customFormat="1" ht="16.2" thickBot="1" x14ac:dyDescent="0.35">
      <c r="A60" s="92"/>
      <c r="B60" s="92"/>
      <c r="C60" s="271" t="s">
        <v>33</v>
      </c>
      <c r="D60" s="272"/>
      <c r="E60" s="179"/>
      <c r="F60" s="180"/>
      <c r="G60" s="94">
        <f>SUM(G8:G58)</f>
        <v>3280.42</v>
      </c>
      <c r="H60" s="94">
        <f t="shared" ref="H60:T60" si="60">+H8+H26+H33+H38+H45+H51+H57</f>
        <v>2800.42</v>
      </c>
      <c r="I60" s="94">
        <f t="shared" si="60"/>
        <v>240</v>
      </c>
      <c r="J60" s="94">
        <f t="shared" si="60"/>
        <v>240</v>
      </c>
      <c r="K60" s="94">
        <f t="shared" si="60"/>
        <v>0</v>
      </c>
      <c r="L60" s="94">
        <f t="shared" si="60"/>
        <v>0</v>
      </c>
      <c r="M60" s="94">
        <f t="shared" si="60"/>
        <v>0</v>
      </c>
      <c r="N60" s="94">
        <f t="shared" si="60"/>
        <v>0</v>
      </c>
      <c r="O60" s="94">
        <f t="shared" si="60"/>
        <v>0</v>
      </c>
      <c r="P60" s="94">
        <f t="shared" si="60"/>
        <v>0</v>
      </c>
      <c r="Q60" s="94">
        <f t="shared" si="60"/>
        <v>0</v>
      </c>
      <c r="R60" s="94">
        <f t="shared" si="60"/>
        <v>0</v>
      </c>
      <c r="S60" s="94">
        <f t="shared" si="60"/>
        <v>0</v>
      </c>
      <c r="T60" s="94">
        <f t="shared" si="60"/>
        <v>3280.42</v>
      </c>
    </row>
    <row r="61" spans="1:31" x14ac:dyDescent="0.25">
      <c r="U61" s="5">
        <f>SUM(H60:S60)</f>
        <v>3280.42</v>
      </c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x14ac:dyDescent="0.25"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x14ac:dyDescent="0.25"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x14ac:dyDescent="0.25"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21:31" x14ac:dyDescent="0.25"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21:31" x14ac:dyDescent="0.25"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21:31" x14ac:dyDescent="0.25"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</sheetData>
  <mergeCells count="12">
    <mergeCell ref="C57:F57"/>
    <mergeCell ref="C60:D60"/>
    <mergeCell ref="B1:G1"/>
    <mergeCell ref="C8:F8"/>
    <mergeCell ref="C33:F33"/>
    <mergeCell ref="C45:F45"/>
    <mergeCell ref="C51:F51"/>
    <mergeCell ref="C10:E10"/>
    <mergeCell ref="C26:F26"/>
    <mergeCell ref="C28:D28"/>
    <mergeCell ref="C38:F38"/>
    <mergeCell ref="C47:D47"/>
  </mergeCells>
  <phoneticPr fontId="0" type="noConversion"/>
  <printOptions horizontalCentered="1"/>
  <pageMargins left="0.74803149606299213" right="0.74803149606299213" top="1.1417322834645669" bottom="1.1417322834645669" header="0.47244094488188981" footer="0"/>
  <pageSetup scale="85" fitToHeight="2" orientation="portrait" horizontalDpi="300" verticalDpi="300" r:id="rId1"/>
  <headerFooter alignWithMargins="0"/>
  <ignoredErrors>
    <ignoredError sqref="I23:J23 M11:S11 I24 I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49"/>
  <sheetViews>
    <sheetView topLeftCell="A19" zoomScale="110" zoomScaleNormal="110" workbookViewId="0">
      <selection activeCell="C33" sqref="C33"/>
    </sheetView>
  </sheetViews>
  <sheetFormatPr baseColWidth="10" defaultRowHeight="13.2" x14ac:dyDescent="0.25"/>
  <cols>
    <col min="1" max="1" width="11.109375" style="4" bestFit="1" customWidth="1"/>
    <col min="2" max="2" width="12.44140625" style="4" bestFit="1" customWidth="1"/>
    <col min="3" max="3" width="61" style="4" bestFit="1" customWidth="1"/>
    <col min="4" max="4" width="12" style="4" bestFit="1" customWidth="1"/>
    <col min="5" max="5" width="15.33203125" style="142" bestFit="1" customWidth="1"/>
    <col min="6" max="6" width="11.88671875" style="4" bestFit="1" customWidth="1"/>
    <col min="7" max="8" width="14" style="4" bestFit="1" customWidth="1"/>
    <col min="9" max="9" width="15.33203125" style="4" bestFit="1" customWidth="1"/>
    <col min="10" max="11" width="11.88671875" style="4" bestFit="1" customWidth="1"/>
    <col min="12" max="12" width="11" style="4" bestFit="1" customWidth="1"/>
    <col min="13" max="13" width="11.88671875" style="4" bestFit="1" customWidth="1"/>
    <col min="14" max="14" width="15.44140625" style="4" bestFit="1" customWidth="1"/>
    <col min="15" max="15" width="11.88671875" style="4" bestFit="1" customWidth="1"/>
    <col min="16" max="16" width="14.21875" style="4" bestFit="1" customWidth="1"/>
    <col min="17" max="17" width="13.109375" style="4" bestFit="1" customWidth="1"/>
    <col min="18" max="18" width="15.33203125" style="4" bestFit="1" customWidth="1"/>
    <col min="19" max="19" width="12.6640625" bestFit="1" customWidth="1"/>
  </cols>
  <sheetData>
    <row r="1" spans="1:19" s="15" customFormat="1" ht="18" thickBot="1" x14ac:dyDescent="0.35">
      <c r="B1" s="267" t="s">
        <v>92</v>
      </c>
      <c r="C1" s="267"/>
      <c r="D1" s="267"/>
      <c r="E1" s="267"/>
    </row>
    <row r="2" spans="1:19" s="10" customFormat="1" ht="16.2" thickBot="1" x14ac:dyDescent="0.35">
      <c r="A2" s="78" t="s">
        <v>190</v>
      </c>
      <c r="B2" s="78" t="s">
        <v>189</v>
      </c>
      <c r="C2" s="78" t="s">
        <v>30</v>
      </c>
      <c r="D2" s="78" t="s">
        <v>32</v>
      </c>
      <c r="E2" s="79" t="s">
        <v>0</v>
      </c>
      <c r="F2" s="78" t="s">
        <v>17</v>
      </c>
      <c r="G2" s="78" t="s">
        <v>18</v>
      </c>
      <c r="H2" s="78" t="s">
        <v>19</v>
      </c>
      <c r="I2" s="78" t="s">
        <v>20</v>
      </c>
      <c r="J2" s="78" t="s">
        <v>21</v>
      </c>
      <c r="K2" s="78" t="s">
        <v>22</v>
      </c>
      <c r="L2" s="78" t="s">
        <v>23</v>
      </c>
      <c r="M2" s="78" t="s">
        <v>24</v>
      </c>
      <c r="N2" s="78" t="s">
        <v>25</v>
      </c>
      <c r="O2" s="78" t="s">
        <v>26</v>
      </c>
      <c r="P2" s="78" t="s">
        <v>27</v>
      </c>
      <c r="Q2" s="78" t="s">
        <v>28</v>
      </c>
      <c r="R2" s="78" t="s">
        <v>29</v>
      </c>
    </row>
    <row r="3" spans="1:19" x14ac:dyDescent="0.25">
      <c r="B3" s="201"/>
      <c r="C3" s="202"/>
      <c r="D3" s="202"/>
      <c r="E3" s="203"/>
      <c r="F3" s="204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205"/>
      <c r="R3" s="197"/>
    </row>
    <row r="4" spans="1:19" s="4" customFormat="1" x14ac:dyDescent="0.25">
      <c r="A4" s="2">
        <v>614</v>
      </c>
      <c r="B4" s="58">
        <v>61406</v>
      </c>
      <c r="C4" s="2" t="s">
        <v>267</v>
      </c>
      <c r="D4" s="2"/>
      <c r="E4" s="161"/>
      <c r="F4" s="187"/>
      <c r="G4" s="85"/>
      <c r="H4" s="85"/>
      <c r="I4" s="85"/>
      <c r="J4" s="85"/>
      <c r="K4" s="85"/>
      <c r="L4" s="85"/>
      <c r="M4" s="85"/>
      <c r="N4" s="85"/>
      <c r="O4" s="85"/>
      <c r="P4" s="85"/>
      <c r="Q4" s="83"/>
      <c r="R4" s="198"/>
    </row>
    <row r="5" spans="1:19" x14ac:dyDescent="0.25">
      <c r="B5" s="206"/>
      <c r="C5" s="124"/>
      <c r="D5" s="124"/>
      <c r="E5" s="207"/>
      <c r="F5" s="187"/>
      <c r="G5" s="85"/>
      <c r="H5" s="85"/>
      <c r="I5" s="85"/>
      <c r="J5" s="85"/>
      <c r="K5" s="85"/>
      <c r="L5" s="85"/>
      <c r="M5" s="85"/>
      <c r="N5" s="85"/>
      <c r="O5" s="85"/>
      <c r="P5" s="85"/>
      <c r="Q5" s="83"/>
      <c r="R5" s="198"/>
    </row>
    <row r="6" spans="1:19" s="4" customFormat="1" x14ac:dyDescent="0.25">
      <c r="B6" s="208" t="s">
        <v>86</v>
      </c>
      <c r="C6" s="2" t="s">
        <v>345</v>
      </c>
      <c r="D6" s="2"/>
      <c r="E6" s="161"/>
      <c r="F6" s="187"/>
      <c r="G6" s="85"/>
      <c r="H6" s="85"/>
      <c r="I6" s="85"/>
      <c r="J6" s="85"/>
      <c r="K6" s="85"/>
      <c r="L6" s="85"/>
      <c r="M6" s="85"/>
      <c r="N6" s="85"/>
      <c r="O6" s="85"/>
      <c r="P6" s="85"/>
      <c r="Q6" s="83"/>
      <c r="R6" s="198"/>
    </row>
    <row r="7" spans="1:19" s="4" customFormat="1" x14ac:dyDescent="0.25">
      <c r="B7" s="48"/>
      <c r="C7" s="56" t="s">
        <v>371</v>
      </c>
      <c r="D7" s="5">
        <v>400000</v>
      </c>
      <c r="E7" s="142"/>
      <c r="F7" s="213">
        <v>0</v>
      </c>
      <c r="G7" s="85">
        <f>+D7*0.3</f>
        <v>120000</v>
      </c>
      <c r="H7" s="85">
        <f>+D7*0.3</f>
        <v>120000</v>
      </c>
      <c r="I7" s="85">
        <f>+D7*0.4</f>
        <v>160000</v>
      </c>
      <c r="J7" s="85">
        <f t="shared" ref="J7:Q10" si="0">$D$7*0</f>
        <v>0</v>
      </c>
      <c r="K7" s="85">
        <f t="shared" si="0"/>
        <v>0</v>
      </c>
      <c r="L7" s="85">
        <f t="shared" si="0"/>
        <v>0</v>
      </c>
      <c r="M7" s="85">
        <f t="shared" si="0"/>
        <v>0</v>
      </c>
      <c r="N7" s="85">
        <f t="shared" si="0"/>
        <v>0</v>
      </c>
      <c r="O7" s="85">
        <f t="shared" si="0"/>
        <v>0</v>
      </c>
      <c r="P7" s="151">
        <f t="shared" si="0"/>
        <v>0</v>
      </c>
      <c r="Q7" s="83">
        <f t="shared" si="0"/>
        <v>0</v>
      </c>
      <c r="R7" s="215">
        <f>SUM(F7:Q7)</f>
        <v>400000</v>
      </c>
      <c r="S7" s="5"/>
    </row>
    <row r="8" spans="1:19" s="4" customFormat="1" ht="26.4" x14ac:dyDescent="0.25">
      <c r="B8" s="48"/>
      <c r="C8" s="56" t="s">
        <v>455</v>
      </c>
      <c r="D8" s="5">
        <v>0</v>
      </c>
      <c r="E8" s="142"/>
      <c r="F8" s="213">
        <v>0</v>
      </c>
      <c r="G8" s="85">
        <f>+D8*0.3</f>
        <v>0</v>
      </c>
      <c r="H8" s="85">
        <f>+D8*0.3</f>
        <v>0</v>
      </c>
      <c r="I8" s="85">
        <f>+D8*0.4</f>
        <v>0</v>
      </c>
      <c r="J8" s="85">
        <f t="shared" si="0"/>
        <v>0</v>
      </c>
      <c r="K8" s="85">
        <f t="shared" si="0"/>
        <v>0</v>
      </c>
      <c r="L8" s="85">
        <f t="shared" si="0"/>
        <v>0</v>
      </c>
      <c r="M8" s="85">
        <f t="shared" si="0"/>
        <v>0</v>
      </c>
      <c r="N8" s="85">
        <f t="shared" si="0"/>
        <v>0</v>
      </c>
      <c r="O8" s="85">
        <f t="shared" si="0"/>
        <v>0</v>
      </c>
      <c r="P8" s="151">
        <f t="shared" si="0"/>
        <v>0</v>
      </c>
      <c r="Q8" s="83">
        <f t="shared" si="0"/>
        <v>0</v>
      </c>
      <c r="R8" s="215">
        <f>SUM(F8:Q8)</f>
        <v>0</v>
      </c>
      <c r="S8" s="5"/>
    </row>
    <row r="9" spans="1:19" s="4" customFormat="1" ht="26.4" x14ac:dyDescent="0.25">
      <c r="B9" s="48"/>
      <c r="C9" s="56" t="s">
        <v>470</v>
      </c>
      <c r="D9" s="5">
        <v>0</v>
      </c>
      <c r="E9" s="142"/>
      <c r="F9" s="213">
        <v>0</v>
      </c>
      <c r="G9" s="85">
        <v>0</v>
      </c>
      <c r="H9" s="85">
        <f>+D9*0.5</f>
        <v>0</v>
      </c>
      <c r="I9" s="85">
        <f>+D9*0.5</f>
        <v>0</v>
      </c>
      <c r="J9" s="85">
        <f t="shared" si="0"/>
        <v>0</v>
      </c>
      <c r="K9" s="85">
        <f t="shared" si="0"/>
        <v>0</v>
      </c>
      <c r="L9" s="85">
        <f t="shared" si="0"/>
        <v>0</v>
      </c>
      <c r="M9" s="85">
        <f t="shared" si="0"/>
        <v>0</v>
      </c>
      <c r="N9" s="85">
        <f t="shared" si="0"/>
        <v>0</v>
      </c>
      <c r="O9" s="85">
        <f t="shared" si="0"/>
        <v>0</v>
      </c>
      <c r="P9" s="85">
        <f t="shared" si="0"/>
        <v>0</v>
      </c>
      <c r="Q9" s="85">
        <f t="shared" si="0"/>
        <v>0</v>
      </c>
      <c r="R9" s="215">
        <f>SUM(F9:Q9)</f>
        <v>0</v>
      </c>
      <c r="S9" s="5"/>
    </row>
    <row r="10" spans="1:19" s="4" customFormat="1" ht="13.8" thickBot="1" x14ac:dyDescent="0.3">
      <c r="B10" s="48"/>
      <c r="C10" s="56" t="s">
        <v>467</v>
      </c>
      <c r="D10" s="5">
        <v>0</v>
      </c>
      <c r="E10" s="142"/>
      <c r="F10" s="213">
        <v>0</v>
      </c>
      <c r="G10" s="85">
        <f>+D10*0.3</f>
        <v>0</v>
      </c>
      <c r="H10" s="85">
        <f>+D10*0.3</f>
        <v>0</v>
      </c>
      <c r="I10" s="85">
        <f>+D10*0.4</f>
        <v>0</v>
      </c>
      <c r="J10" s="85">
        <f t="shared" si="0"/>
        <v>0</v>
      </c>
      <c r="K10" s="85">
        <f t="shared" si="0"/>
        <v>0</v>
      </c>
      <c r="L10" s="85">
        <f t="shared" si="0"/>
        <v>0</v>
      </c>
      <c r="M10" s="85">
        <f t="shared" si="0"/>
        <v>0</v>
      </c>
      <c r="N10" s="85">
        <f t="shared" si="0"/>
        <v>0</v>
      </c>
      <c r="O10" s="85">
        <f t="shared" si="0"/>
        <v>0</v>
      </c>
      <c r="P10" s="151">
        <f t="shared" si="0"/>
        <v>0</v>
      </c>
      <c r="Q10" s="83">
        <f t="shared" si="0"/>
        <v>0</v>
      </c>
      <c r="R10" s="215">
        <f>SUM(F10:Q10)</f>
        <v>0</v>
      </c>
      <c r="S10" s="5"/>
    </row>
    <row r="11" spans="1:19" s="10" customFormat="1" ht="30" customHeight="1" thickBot="1" x14ac:dyDescent="0.35">
      <c r="A11" s="92"/>
      <c r="B11" s="92"/>
      <c r="C11" s="273" t="s">
        <v>348</v>
      </c>
      <c r="D11" s="274"/>
      <c r="E11" s="94">
        <f>SUM(D7:D10)</f>
        <v>400000</v>
      </c>
      <c r="F11" s="94">
        <f t="shared" ref="F11:R11" si="1">SUM(F7:F10)</f>
        <v>0</v>
      </c>
      <c r="G11" s="94">
        <f t="shared" si="1"/>
        <v>120000</v>
      </c>
      <c r="H11" s="94">
        <f t="shared" si="1"/>
        <v>120000</v>
      </c>
      <c r="I11" s="94">
        <f t="shared" si="1"/>
        <v>160000</v>
      </c>
      <c r="J11" s="94">
        <f t="shared" si="1"/>
        <v>0</v>
      </c>
      <c r="K11" s="94">
        <f t="shared" si="1"/>
        <v>0</v>
      </c>
      <c r="L11" s="94">
        <f t="shared" si="1"/>
        <v>0</v>
      </c>
      <c r="M11" s="94">
        <f t="shared" si="1"/>
        <v>0</v>
      </c>
      <c r="N11" s="94">
        <f t="shared" si="1"/>
        <v>0</v>
      </c>
      <c r="O11" s="94">
        <f t="shared" si="1"/>
        <v>0</v>
      </c>
      <c r="P11" s="94">
        <f t="shared" si="1"/>
        <v>0</v>
      </c>
      <c r="Q11" s="94">
        <f t="shared" si="1"/>
        <v>0</v>
      </c>
      <c r="R11" s="94">
        <f t="shared" si="1"/>
        <v>400000</v>
      </c>
    </row>
    <row r="12" spans="1:19" x14ac:dyDescent="0.25">
      <c r="B12" s="209"/>
      <c r="C12" s="6"/>
      <c r="D12" s="6"/>
      <c r="E12" s="207"/>
      <c r="F12" s="210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211"/>
      <c r="R12" s="197"/>
      <c r="S12" s="1"/>
    </row>
    <row r="13" spans="1:19" s="4" customFormat="1" ht="26.4" x14ac:dyDescent="0.25">
      <c r="B13" s="208" t="s">
        <v>87</v>
      </c>
      <c r="C13" s="212" t="s">
        <v>346</v>
      </c>
      <c r="D13" s="2"/>
      <c r="E13" s="161"/>
      <c r="F13" s="187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3"/>
      <c r="R13" s="198"/>
    </row>
    <row r="14" spans="1:19" s="4" customFormat="1" ht="15" customHeight="1" x14ac:dyDescent="0.25">
      <c r="B14" s="48"/>
      <c r="C14" s="56" t="s">
        <v>456</v>
      </c>
      <c r="D14" s="5">
        <v>250000</v>
      </c>
      <c r="E14" s="161"/>
      <c r="F14" s="187">
        <f>$D$14*0</f>
        <v>0</v>
      </c>
      <c r="G14" s="85">
        <f>+D14*0.3</f>
        <v>75000</v>
      </c>
      <c r="H14" s="85">
        <f>+D14*0.3</f>
        <v>75000</v>
      </c>
      <c r="I14" s="85">
        <f>+D14*0.4</f>
        <v>100000</v>
      </c>
      <c r="J14" s="85">
        <f>$D$14*0</f>
        <v>0</v>
      </c>
      <c r="K14" s="85">
        <f t="shared" ref="K14:Q14" si="2">$D$14*0</f>
        <v>0</v>
      </c>
      <c r="L14" s="85">
        <f t="shared" si="2"/>
        <v>0</v>
      </c>
      <c r="M14" s="85">
        <f t="shared" si="2"/>
        <v>0</v>
      </c>
      <c r="N14" s="85">
        <f t="shared" si="2"/>
        <v>0</v>
      </c>
      <c r="O14" s="85">
        <f t="shared" si="2"/>
        <v>0</v>
      </c>
      <c r="P14" s="85">
        <f t="shared" si="2"/>
        <v>0</v>
      </c>
      <c r="Q14" s="85">
        <f t="shared" si="2"/>
        <v>0</v>
      </c>
      <c r="R14" s="198">
        <f t="shared" ref="R14:R15" si="3">SUM(F14:Q14)</f>
        <v>250000</v>
      </c>
    </row>
    <row r="15" spans="1:19" s="4" customFormat="1" ht="13.8" thickBot="1" x14ac:dyDescent="0.3">
      <c r="B15" s="48"/>
      <c r="C15" s="56" t="s">
        <v>347</v>
      </c>
      <c r="D15" s="5">
        <v>250000</v>
      </c>
      <c r="E15" s="161"/>
      <c r="F15" s="187">
        <f>$D$15*0</f>
        <v>0</v>
      </c>
      <c r="G15" s="85">
        <f>$D$15*0.3</f>
        <v>75000</v>
      </c>
      <c r="H15" s="85">
        <f>$D$15*0.3</f>
        <v>75000</v>
      </c>
      <c r="I15" s="85">
        <f>$D$15*0.4</f>
        <v>100000</v>
      </c>
      <c r="J15" s="85">
        <f t="shared" ref="J15:Q15" si="4">$D$15*0</f>
        <v>0</v>
      </c>
      <c r="K15" s="85">
        <f t="shared" si="4"/>
        <v>0</v>
      </c>
      <c r="L15" s="85">
        <f t="shared" si="4"/>
        <v>0</v>
      </c>
      <c r="M15" s="85">
        <f t="shared" si="4"/>
        <v>0</v>
      </c>
      <c r="N15" s="85">
        <f t="shared" si="4"/>
        <v>0</v>
      </c>
      <c r="O15" s="85">
        <f t="shared" si="4"/>
        <v>0</v>
      </c>
      <c r="P15" s="85">
        <f t="shared" si="4"/>
        <v>0</v>
      </c>
      <c r="Q15" s="151">
        <f t="shared" si="4"/>
        <v>0</v>
      </c>
      <c r="R15" s="198">
        <f t="shared" si="3"/>
        <v>250000</v>
      </c>
    </row>
    <row r="16" spans="1:19" s="10" customFormat="1" ht="30.6" customHeight="1" thickBot="1" x14ac:dyDescent="0.35">
      <c r="A16" s="92"/>
      <c r="B16" s="92"/>
      <c r="C16" s="273" t="s">
        <v>349</v>
      </c>
      <c r="D16" s="274"/>
      <c r="E16" s="94">
        <f>SUM(D14:D15)</f>
        <v>500000</v>
      </c>
      <c r="F16" s="94">
        <f t="shared" ref="F16:R16" si="5">SUM(F14:F15)</f>
        <v>0</v>
      </c>
      <c r="G16" s="94">
        <f t="shared" si="5"/>
        <v>150000</v>
      </c>
      <c r="H16" s="94">
        <f t="shared" si="5"/>
        <v>150000</v>
      </c>
      <c r="I16" s="94">
        <f t="shared" si="5"/>
        <v>200000</v>
      </c>
      <c r="J16" s="94">
        <f t="shared" si="5"/>
        <v>0</v>
      </c>
      <c r="K16" s="94">
        <f t="shared" si="5"/>
        <v>0</v>
      </c>
      <c r="L16" s="94">
        <f t="shared" si="5"/>
        <v>0</v>
      </c>
      <c r="M16" s="94">
        <f t="shared" si="5"/>
        <v>0</v>
      </c>
      <c r="N16" s="94">
        <f t="shared" si="5"/>
        <v>0</v>
      </c>
      <c r="O16" s="94">
        <f t="shared" si="5"/>
        <v>0</v>
      </c>
      <c r="P16" s="94">
        <f t="shared" si="5"/>
        <v>0</v>
      </c>
      <c r="Q16" s="94">
        <f t="shared" si="5"/>
        <v>0</v>
      </c>
      <c r="R16" s="94">
        <f t="shared" si="5"/>
        <v>500000</v>
      </c>
    </row>
    <row r="17" spans="1:19" x14ac:dyDescent="0.25">
      <c r="B17" s="209"/>
      <c r="C17" s="6"/>
      <c r="D17" s="8"/>
      <c r="E17" s="207"/>
      <c r="F17" s="210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211"/>
      <c r="R17" s="197"/>
      <c r="S17" s="1"/>
    </row>
    <row r="18" spans="1:19" s="4" customFormat="1" x14ac:dyDescent="0.25">
      <c r="B18" s="208" t="s">
        <v>88</v>
      </c>
      <c r="C18" s="2" t="s">
        <v>343</v>
      </c>
      <c r="D18" s="5"/>
      <c r="E18" s="161"/>
      <c r="F18" s="187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3"/>
      <c r="R18" s="198"/>
    </row>
    <row r="19" spans="1:19" s="4" customFormat="1" x14ac:dyDescent="0.25">
      <c r="B19" s="48"/>
      <c r="C19" s="56" t="s">
        <v>471</v>
      </c>
      <c r="D19" s="5">
        <v>1000000</v>
      </c>
      <c r="E19" s="161"/>
      <c r="F19" s="213">
        <f>$D$19*0</f>
        <v>0</v>
      </c>
      <c r="G19" s="85">
        <f>$D$19*0.3</f>
        <v>300000</v>
      </c>
      <c r="H19" s="85">
        <f>$D$19*0.3</f>
        <v>300000</v>
      </c>
      <c r="I19" s="85">
        <f>$D$19*0.4</f>
        <v>400000</v>
      </c>
      <c r="J19" s="85">
        <f t="shared" ref="J19:Q23" si="6">$D$19*0</f>
        <v>0</v>
      </c>
      <c r="K19" s="85">
        <f t="shared" si="6"/>
        <v>0</v>
      </c>
      <c r="L19" s="85">
        <f t="shared" si="6"/>
        <v>0</v>
      </c>
      <c r="M19" s="85">
        <f t="shared" si="6"/>
        <v>0</v>
      </c>
      <c r="N19" s="85">
        <f t="shared" si="6"/>
        <v>0</v>
      </c>
      <c r="O19" s="85">
        <f t="shared" si="6"/>
        <v>0</v>
      </c>
      <c r="P19" s="85">
        <f t="shared" si="6"/>
        <v>0</v>
      </c>
      <c r="Q19" s="82">
        <f t="shared" si="6"/>
        <v>0</v>
      </c>
      <c r="R19" s="198">
        <f t="shared" ref="R19:R23" si="7">SUM(F19:Q19)</f>
        <v>1000000</v>
      </c>
    </row>
    <row r="20" spans="1:19" s="4" customFormat="1" x14ac:dyDescent="0.25">
      <c r="B20" s="48"/>
      <c r="C20" s="4" t="s">
        <v>457</v>
      </c>
      <c r="D20" s="5">
        <v>0</v>
      </c>
      <c r="E20" s="161"/>
      <c r="F20" s="213">
        <f>$D$19*0</f>
        <v>0</v>
      </c>
      <c r="G20" s="85">
        <f>+D20*0.3</f>
        <v>0</v>
      </c>
      <c r="H20" s="85">
        <f>+D20*0.3</f>
        <v>0</v>
      </c>
      <c r="I20" s="85">
        <f>+D20*0.4</f>
        <v>0</v>
      </c>
      <c r="J20" s="85">
        <f t="shared" si="6"/>
        <v>0</v>
      </c>
      <c r="K20" s="85">
        <f t="shared" si="6"/>
        <v>0</v>
      </c>
      <c r="L20" s="85">
        <f t="shared" si="6"/>
        <v>0</v>
      </c>
      <c r="M20" s="85">
        <f t="shared" si="6"/>
        <v>0</v>
      </c>
      <c r="N20" s="85">
        <f t="shared" si="6"/>
        <v>0</v>
      </c>
      <c r="O20" s="85">
        <f t="shared" si="6"/>
        <v>0</v>
      </c>
      <c r="P20" s="85">
        <f t="shared" si="6"/>
        <v>0</v>
      </c>
      <c r="Q20" s="82">
        <f t="shared" si="6"/>
        <v>0</v>
      </c>
      <c r="R20" s="198">
        <f t="shared" si="7"/>
        <v>0</v>
      </c>
    </row>
    <row r="21" spans="1:19" s="4" customFormat="1" ht="26.4" x14ac:dyDescent="0.25">
      <c r="B21" s="48"/>
      <c r="C21" s="56" t="s">
        <v>472</v>
      </c>
      <c r="D21" s="5">
        <v>0</v>
      </c>
      <c r="E21" s="161"/>
      <c r="F21" s="213">
        <f>$D$19*0</f>
        <v>0</v>
      </c>
      <c r="G21" s="81">
        <f>+D21*0.3</f>
        <v>0</v>
      </c>
      <c r="H21" s="81">
        <f>+D21*0.3</f>
        <v>0</v>
      </c>
      <c r="I21" s="81">
        <f>+D21*0.4</f>
        <v>0</v>
      </c>
      <c r="J21" s="85">
        <f t="shared" si="6"/>
        <v>0</v>
      </c>
      <c r="K21" s="85">
        <f t="shared" si="6"/>
        <v>0</v>
      </c>
      <c r="L21" s="85">
        <f t="shared" si="6"/>
        <v>0</v>
      </c>
      <c r="M21" s="85">
        <f t="shared" si="6"/>
        <v>0</v>
      </c>
      <c r="N21" s="85">
        <f t="shared" si="6"/>
        <v>0</v>
      </c>
      <c r="O21" s="85">
        <f t="shared" si="6"/>
        <v>0</v>
      </c>
      <c r="P21" s="85">
        <f t="shared" si="6"/>
        <v>0</v>
      </c>
      <c r="Q21" s="82">
        <f t="shared" si="6"/>
        <v>0</v>
      </c>
      <c r="R21" s="198">
        <f t="shared" si="7"/>
        <v>0</v>
      </c>
    </row>
    <row r="22" spans="1:19" s="4" customFormat="1" x14ac:dyDescent="0.25">
      <c r="B22" s="48"/>
      <c r="C22" s="56" t="s">
        <v>473</v>
      </c>
      <c r="D22" s="5">
        <v>1000000</v>
      </c>
      <c r="E22" s="161"/>
      <c r="F22" s="213">
        <f>$D$19*0</f>
        <v>0</v>
      </c>
      <c r="G22" s="81">
        <f t="shared" ref="G22:G23" si="8">+D22*0.3</f>
        <v>300000</v>
      </c>
      <c r="H22" s="81">
        <f t="shared" ref="H22:H23" si="9">+D22*0.3</f>
        <v>300000</v>
      </c>
      <c r="I22" s="81">
        <f t="shared" ref="I22:I23" si="10">+D22*0.4</f>
        <v>400000</v>
      </c>
      <c r="J22" s="85">
        <f t="shared" si="6"/>
        <v>0</v>
      </c>
      <c r="K22" s="85">
        <f t="shared" si="6"/>
        <v>0</v>
      </c>
      <c r="L22" s="85">
        <f t="shared" si="6"/>
        <v>0</v>
      </c>
      <c r="M22" s="85">
        <f t="shared" si="6"/>
        <v>0</v>
      </c>
      <c r="N22" s="85">
        <f t="shared" si="6"/>
        <v>0</v>
      </c>
      <c r="O22" s="85">
        <f t="shared" si="6"/>
        <v>0</v>
      </c>
      <c r="P22" s="85">
        <f t="shared" si="6"/>
        <v>0</v>
      </c>
      <c r="Q22" s="82">
        <f t="shared" si="6"/>
        <v>0</v>
      </c>
      <c r="R22" s="198">
        <f t="shared" si="7"/>
        <v>1000000</v>
      </c>
    </row>
    <row r="23" spans="1:19" s="4" customFormat="1" ht="13.8" thickBot="1" x14ac:dyDescent="0.3">
      <c r="B23" s="48"/>
      <c r="C23" s="56" t="s">
        <v>475</v>
      </c>
      <c r="D23" s="5">
        <v>0</v>
      </c>
      <c r="E23" s="161"/>
      <c r="F23" s="213">
        <f t="shared" ref="F23" si="11">$D$19*0</f>
        <v>0</v>
      </c>
      <c r="G23" s="81">
        <f t="shared" si="8"/>
        <v>0</v>
      </c>
      <c r="H23" s="81">
        <f t="shared" si="9"/>
        <v>0</v>
      </c>
      <c r="I23" s="81">
        <f t="shared" si="10"/>
        <v>0</v>
      </c>
      <c r="J23" s="85">
        <f t="shared" si="6"/>
        <v>0</v>
      </c>
      <c r="K23" s="85">
        <f t="shared" si="6"/>
        <v>0</v>
      </c>
      <c r="L23" s="85">
        <f t="shared" si="6"/>
        <v>0</v>
      </c>
      <c r="M23" s="85">
        <f t="shared" si="6"/>
        <v>0</v>
      </c>
      <c r="N23" s="85">
        <f t="shared" si="6"/>
        <v>0</v>
      </c>
      <c r="O23" s="85">
        <f t="shared" si="6"/>
        <v>0</v>
      </c>
      <c r="P23" s="85">
        <f t="shared" si="6"/>
        <v>0</v>
      </c>
      <c r="Q23" s="82">
        <f t="shared" si="6"/>
        <v>0</v>
      </c>
      <c r="R23" s="198">
        <f t="shared" si="7"/>
        <v>0</v>
      </c>
    </row>
    <row r="24" spans="1:19" s="10" customFormat="1" ht="16.2" thickBot="1" x14ac:dyDescent="0.35">
      <c r="A24" s="92"/>
      <c r="B24" s="92"/>
      <c r="C24" s="264" t="s">
        <v>350</v>
      </c>
      <c r="D24" s="266"/>
      <c r="E24" s="94">
        <f>SUM(D19:D23)</f>
        <v>2000000</v>
      </c>
      <c r="F24" s="94">
        <f t="shared" ref="F24:R24" si="12">SUM(F19:F23)</f>
        <v>0</v>
      </c>
      <c r="G24" s="94">
        <f t="shared" si="12"/>
        <v>600000</v>
      </c>
      <c r="H24" s="94">
        <f t="shared" si="12"/>
        <v>600000</v>
      </c>
      <c r="I24" s="94">
        <f t="shared" si="12"/>
        <v>800000</v>
      </c>
      <c r="J24" s="94">
        <f t="shared" si="12"/>
        <v>0</v>
      </c>
      <c r="K24" s="94">
        <f t="shared" si="12"/>
        <v>0</v>
      </c>
      <c r="L24" s="94">
        <f t="shared" si="12"/>
        <v>0</v>
      </c>
      <c r="M24" s="94">
        <f t="shared" si="12"/>
        <v>0</v>
      </c>
      <c r="N24" s="94">
        <f t="shared" si="12"/>
        <v>0</v>
      </c>
      <c r="O24" s="94">
        <f t="shared" si="12"/>
        <v>0</v>
      </c>
      <c r="P24" s="94">
        <f t="shared" si="12"/>
        <v>0</v>
      </c>
      <c r="Q24" s="94">
        <f t="shared" si="12"/>
        <v>0</v>
      </c>
      <c r="R24" s="94">
        <f t="shared" si="12"/>
        <v>2000000</v>
      </c>
    </row>
    <row r="25" spans="1:19" x14ac:dyDescent="0.25">
      <c r="B25" s="209"/>
      <c r="C25" s="6"/>
      <c r="D25" s="8"/>
      <c r="F25" s="210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211"/>
      <c r="R25" s="197"/>
      <c r="S25" s="1"/>
    </row>
    <row r="26" spans="1:19" s="4" customFormat="1" x14ac:dyDescent="0.25">
      <c r="B26" s="208" t="s">
        <v>89</v>
      </c>
      <c r="C26" s="2" t="s">
        <v>351</v>
      </c>
      <c r="D26" s="142"/>
      <c r="E26" s="207"/>
      <c r="F26" s="187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3"/>
      <c r="R26" s="198"/>
    </row>
    <row r="27" spans="1:19" s="4" customFormat="1" x14ac:dyDescent="0.25">
      <c r="B27" s="48"/>
      <c r="C27" s="56" t="s">
        <v>468</v>
      </c>
      <c r="D27" s="5">
        <v>1100000</v>
      </c>
      <c r="E27" s="161"/>
      <c r="F27" s="187">
        <f>$D$27*0</f>
        <v>0</v>
      </c>
      <c r="G27" s="85">
        <f>$D$27*0.3</f>
        <v>330000</v>
      </c>
      <c r="H27" s="85">
        <f>$D$27*0.3</f>
        <v>330000</v>
      </c>
      <c r="I27" s="85">
        <f>$D$27*0.4</f>
        <v>440000</v>
      </c>
      <c r="J27" s="85">
        <f t="shared" ref="J27:Q27" si="13">$D$27*0</f>
        <v>0</v>
      </c>
      <c r="K27" s="85">
        <f t="shared" si="13"/>
        <v>0</v>
      </c>
      <c r="L27" s="85">
        <f t="shared" si="13"/>
        <v>0</v>
      </c>
      <c r="M27" s="85">
        <f t="shared" si="13"/>
        <v>0</v>
      </c>
      <c r="N27" s="85">
        <f t="shared" si="13"/>
        <v>0</v>
      </c>
      <c r="O27" s="85">
        <f t="shared" si="13"/>
        <v>0</v>
      </c>
      <c r="P27" s="85">
        <f t="shared" si="13"/>
        <v>0</v>
      </c>
      <c r="Q27" s="85">
        <f t="shared" si="13"/>
        <v>0</v>
      </c>
      <c r="R27" s="198">
        <f>SUM(F27:Q27)</f>
        <v>1100000</v>
      </c>
    </row>
    <row r="28" spans="1:19" s="4" customFormat="1" x14ac:dyDescent="0.25">
      <c r="B28" s="48"/>
      <c r="C28" s="56" t="s">
        <v>476</v>
      </c>
      <c r="D28" s="5">
        <v>0</v>
      </c>
      <c r="E28" s="161"/>
      <c r="F28" s="187">
        <f>$D$28*0</f>
        <v>0</v>
      </c>
      <c r="G28" s="85">
        <f>$D$28*0.3</f>
        <v>0</v>
      </c>
      <c r="H28" s="85">
        <f>$D$28*0.3</f>
        <v>0</v>
      </c>
      <c r="I28" s="85">
        <f>$D$28*0.4</f>
        <v>0</v>
      </c>
      <c r="J28" s="85">
        <f>$D$28*0</f>
        <v>0</v>
      </c>
      <c r="K28" s="85">
        <f t="shared" ref="K28:Q28" si="14">$D$28*0</f>
        <v>0</v>
      </c>
      <c r="L28" s="85">
        <f t="shared" si="14"/>
        <v>0</v>
      </c>
      <c r="M28" s="85">
        <f t="shared" si="14"/>
        <v>0</v>
      </c>
      <c r="N28" s="85">
        <f t="shared" si="14"/>
        <v>0</v>
      </c>
      <c r="O28" s="85">
        <f t="shared" si="14"/>
        <v>0</v>
      </c>
      <c r="P28" s="85">
        <f t="shared" si="14"/>
        <v>0</v>
      </c>
      <c r="Q28" s="85">
        <f t="shared" si="14"/>
        <v>0</v>
      </c>
      <c r="R28" s="198">
        <f>SUM(F28:Q28)</f>
        <v>0</v>
      </c>
    </row>
    <row r="29" spans="1:19" s="4" customFormat="1" ht="27" thickBot="1" x14ac:dyDescent="0.3">
      <c r="B29" s="48"/>
      <c r="C29" s="56" t="s">
        <v>474</v>
      </c>
      <c r="D29" s="5">
        <v>0</v>
      </c>
      <c r="E29" s="161"/>
      <c r="F29" s="187">
        <f>$D$29*0</f>
        <v>0</v>
      </c>
      <c r="G29" s="85">
        <v>0</v>
      </c>
      <c r="H29" s="85">
        <f>$D$29*0.5</f>
        <v>0</v>
      </c>
      <c r="I29" s="85">
        <f>+D29*0.5</f>
        <v>0</v>
      </c>
      <c r="J29" s="85">
        <f t="shared" ref="J29:Q29" si="15">$D$27*0</f>
        <v>0</v>
      </c>
      <c r="K29" s="85">
        <f t="shared" si="15"/>
        <v>0</v>
      </c>
      <c r="L29" s="85">
        <f t="shared" si="15"/>
        <v>0</v>
      </c>
      <c r="M29" s="85">
        <f t="shared" si="15"/>
        <v>0</v>
      </c>
      <c r="N29" s="85">
        <f t="shared" si="15"/>
        <v>0</v>
      </c>
      <c r="O29" s="85">
        <f t="shared" si="15"/>
        <v>0</v>
      </c>
      <c r="P29" s="85">
        <f t="shared" si="15"/>
        <v>0</v>
      </c>
      <c r="Q29" s="85">
        <f t="shared" si="15"/>
        <v>0</v>
      </c>
      <c r="R29" s="198">
        <f>SUM(F29:Q29)</f>
        <v>0</v>
      </c>
    </row>
    <row r="30" spans="1:19" s="10" customFormat="1" ht="16.2" thickBot="1" x14ac:dyDescent="0.35">
      <c r="A30" s="92"/>
      <c r="B30" s="92"/>
      <c r="C30" s="264" t="s">
        <v>272</v>
      </c>
      <c r="D30" s="266"/>
      <c r="E30" s="94">
        <f>SUM(D27:D29)</f>
        <v>1100000</v>
      </c>
      <c r="F30" s="94">
        <f t="shared" ref="F30:R30" si="16">SUM(F27:F29)</f>
        <v>0</v>
      </c>
      <c r="G30" s="94">
        <f t="shared" si="16"/>
        <v>330000</v>
      </c>
      <c r="H30" s="94">
        <f t="shared" si="16"/>
        <v>330000</v>
      </c>
      <c r="I30" s="94">
        <f t="shared" si="16"/>
        <v>440000</v>
      </c>
      <c r="J30" s="94">
        <f t="shared" si="16"/>
        <v>0</v>
      </c>
      <c r="K30" s="94">
        <f t="shared" si="16"/>
        <v>0</v>
      </c>
      <c r="L30" s="94">
        <f t="shared" si="16"/>
        <v>0</v>
      </c>
      <c r="M30" s="94">
        <f t="shared" si="16"/>
        <v>0</v>
      </c>
      <c r="N30" s="94">
        <f t="shared" si="16"/>
        <v>0</v>
      </c>
      <c r="O30" s="94">
        <f t="shared" si="16"/>
        <v>0</v>
      </c>
      <c r="P30" s="94">
        <f t="shared" si="16"/>
        <v>0</v>
      </c>
      <c r="Q30" s="94">
        <f t="shared" si="16"/>
        <v>0</v>
      </c>
      <c r="R30" s="94">
        <f t="shared" si="16"/>
        <v>1100000</v>
      </c>
    </row>
    <row r="31" spans="1:19" x14ac:dyDescent="0.25">
      <c r="B31" s="209"/>
      <c r="C31" s="6"/>
      <c r="D31" s="8"/>
      <c r="E31" s="95"/>
      <c r="F31" s="204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214"/>
      <c r="R31" s="197"/>
      <c r="S31" s="1"/>
    </row>
    <row r="32" spans="1:19" s="4" customFormat="1" x14ac:dyDescent="0.25">
      <c r="B32" s="208" t="s">
        <v>90</v>
      </c>
      <c r="C32" s="2" t="s">
        <v>273</v>
      </c>
      <c r="D32" s="142"/>
      <c r="E32" s="142"/>
      <c r="F32" s="187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215"/>
      <c r="R32" s="198"/>
    </row>
    <row r="33" spans="1:19" s="4" customFormat="1" ht="13.8" thickBot="1" x14ac:dyDescent="0.3">
      <c r="B33" s="208"/>
      <c r="C33" s="56" t="s">
        <v>469</v>
      </c>
      <c r="D33" s="5">
        <v>0</v>
      </c>
      <c r="E33" s="142"/>
      <c r="F33" s="189">
        <f>$D$33*0</f>
        <v>0</v>
      </c>
      <c r="G33" s="172">
        <f>+D33*0.3</f>
        <v>0</v>
      </c>
      <c r="H33" s="172">
        <f>+D33*0.3</f>
        <v>0</v>
      </c>
      <c r="I33" s="172">
        <f>+D33*0.4</f>
        <v>0</v>
      </c>
      <c r="J33" s="172">
        <f t="shared" ref="J33:Q33" si="17">$D$33*0</f>
        <v>0</v>
      </c>
      <c r="K33" s="172">
        <f t="shared" si="17"/>
        <v>0</v>
      </c>
      <c r="L33" s="172">
        <f t="shared" si="17"/>
        <v>0</v>
      </c>
      <c r="M33" s="172">
        <f t="shared" si="17"/>
        <v>0</v>
      </c>
      <c r="N33" s="172">
        <f t="shared" si="17"/>
        <v>0</v>
      </c>
      <c r="O33" s="172">
        <f t="shared" si="17"/>
        <v>0</v>
      </c>
      <c r="P33" s="171">
        <f t="shared" si="17"/>
        <v>0</v>
      </c>
      <c r="Q33" s="173">
        <f t="shared" si="17"/>
        <v>0</v>
      </c>
      <c r="R33" s="198">
        <f>SUM(F33:Q33)</f>
        <v>0</v>
      </c>
    </row>
    <row r="34" spans="1:19" s="10" customFormat="1" ht="16.2" thickBot="1" x14ac:dyDescent="0.35">
      <c r="A34" s="92"/>
      <c r="B34" s="92"/>
      <c r="C34" s="264" t="s">
        <v>274</v>
      </c>
      <c r="D34" s="266"/>
      <c r="E34" s="94">
        <f>SUM(D33)</f>
        <v>0</v>
      </c>
      <c r="F34" s="94">
        <f>SUM(F33)</f>
        <v>0</v>
      </c>
      <c r="G34" s="94">
        <f t="shared" ref="G34:Q34" si="18">SUM(G33)</f>
        <v>0</v>
      </c>
      <c r="H34" s="94">
        <f t="shared" si="18"/>
        <v>0</v>
      </c>
      <c r="I34" s="94">
        <f t="shared" si="18"/>
        <v>0</v>
      </c>
      <c r="J34" s="94">
        <f t="shared" si="18"/>
        <v>0</v>
      </c>
      <c r="K34" s="94">
        <f t="shared" si="18"/>
        <v>0</v>
      </c>
      <c r="L34" s="94">
        <f t="shared" si="18"/>
        <v>0</v>
      </c>
      <c r="M34" s="94">
        <f t="shared" si="18"/>
        <v>0</v>
      </c>
      <c r="N34" s="94">
        <f t="shared" si="18"/>
        <v>0</v>
      </c>
      <c r="O34" s="94">
        <f t="shared" si="18"/>
        <v>0</v>
      </c>
      <c r="P34" s="94">
        <f t="shared" si="18"/>
        <v>0</v>
      </c>
      <c r="Q34" s="94">
        <f t="shared" si="18"/>
        <v>0</v>
      </c>
      <c r="R34" s="94">
        <f>SUM(R33:R33)</f>
        <v>0</v>
      </c>
    </row>
    <row r="35" spans="1:19" x14ac:dyDescent="0.25">
      <c r="B35" s="209"/>
      <c r="C35" s="6"/>
      <c r="D35" s="8"/>
      <c r="E35" s="207"/>
      <c r="F35" s="216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211"/>
      <c r="R35" s="197"/>
      <c r="S35" s="1"/>
    </row>
    <row r="36" spans="1:19" s="4" customFormat="1" ht="13.8" thickBot="1" x14ac:dyDescent="0.3">
      <c r="B36" s="208" t="s">
        <v>91</v>
      </c>
      <c r="C36" s="2" t="s">
        <v>85</v>
      </c>
      <c r="D36" s="142"/>
      <c r="E36" s="161"/>
      <c r="F36" s="187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3"/>
      <c r="R36" s="198">
        <f>SUM(F36:Q36)</f>
        <v>0</v>
      </c>
    </row>
    <row r="37" spans="1:19" s="10" customFormat="1" ht="16.2" thickBot="1" x14ac:dyDescent="0.35">
      <c r="A37" s="92"/>
      <c r="B37" s="92"/>
      <c r="C37" s="264" t="s">
        <v>275</v>
      </c>
      <c r="D37" s="266"/>
      <c r="E37" s="94">
        <f>SUM(D36:D36)</f>
        <v>0</v>
      </c>
      <c r="F37" s="94">
        <f>SUM(F36:F36)</f>
        <v>0</v>
      </c>
      <c r="G37" s="94">
        <f t="shared" ref="G37:P37" si="19">SUM(G36:G36)</f>
        <v>0</v>
      </c>
      <c r="H37" s="94">
        <f t="shared" si="19"/>
        <v>0</v>
      </c>
      <c r="I37" s="94">
        <f t="shared" si="19"/>
        <v>0</v>
      </c>
      <c r="J37" s="94">
        <f t="shared" si="19"/>
        <v>0</v>
      </c>
      <c r="K37" s="94">
        <f t="shared" si="19"/>
        <v>0</v>
      </c>
      <c r="L37" s="94">
        <f t="shared" si="19"/>
        <v>0</v>
      </c>
      <c r="M37" s="94">
        <f t="shared" si="19"/>
        <v>0</v>
      </c>
      <c r="N37" s="94">
        <f t="shared" si="19"/>
        <v>0</v>
      </c>
      <c r="O37" s="94">
        <f t="shared" si="19"/>
        <v>0</v>
      </c>
      <c r="P37" s="94">
        <f t="shared" si="19"/>
        <v>0</v>
      </c>
      <c r="Q37" s="94">
        <f>SUM(Q36:Q36)</f>
        <v>0</v>
      </c>
      <c r="R37" s="94">
        <f>SUM(R36:R36)</f>
        <v>0</v>
      </c>
    </row>
    <row r="38" spans="1:19" ht="13.8" thickBot="1" x14ac:dyDescent="0.3">
      <c r="B38" s="209"/>
      <c r="C38" s="6"/>
      <c r="D38" s="6"/>
      <c r="E38" s="207"/>
      <c r="F38" s="217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9"/>
      <c r="R38" s="200"/>
      <c r="S38" s="1"/>
    </row>
    <row r="39" spans="1:19" s="10" customFormat="1" ht="16.2" thickBot="1" x14ac:dyDescent="0.35">
      <c r="A39" s="92"/>
      <c r="B39" s="92"/>
      <c r="C39" s="178" t="s">
        <v>69</v>
      </c>
      <c r="D39" s="220"/>
      <c r="E39" s="94">
        <f>SUM(E11:E34)</f>
        <v>4000000</v>
      </c>
      <c r="F39" s="94">
        <f t="shared" ref="F39:R39" si="20">+F11+F16+F24+F30+F34</f>
        <v>0</v>
      </c>
      <c r="G39" s="94">
        <f t="shared" si="20"/>
        <v>1200000</v>
      </c>
      <c r="H39" s="94">
        <f t="shared" si="20"/>
        <v>1200000</v>
      </c>
      <c r="I39" s="94">
        <f t="shared" si="20"/>
        <v>1600000</v>
      </c>
      <c r="J39" s="94">
        <f t="shared" si="20"/>
        <v>0</v>
      </c>
      <c r="K39" s="94">
        <f t="shared" si="20"/>
        <v>0</v>
      </c>
      <c r="L39" s="94">
        <f t="shared" si="20"/>
        <v>0</v>
      </c>
      <c r="M39" s="94">
        <f t="shared" si="20"/>
        <v>0</v>
      </c>
      <c r="N39" s="94">
        <f t="shared" si="20"/>
        <v>0</v>
      </c>
      <c r="O39" s="94">
        <f t="shared" si="20"/>
        <v>0</v>
      </c>
      <c r="P39" s="94">
        <f t="shared" si="20"/>
        <v>0</v>
      </c>
      <c r="Q39" s="94">
        <f t="shared" si="20"/>
        <v>0</v>
      </c>
      <c r="R39" s="94">
        <f t="shared" si="20"/>
        <v>4000000</v>
      </c>
      <c r="S39" s="16"/>
    </row>
    <row r="40" spans="1:19" x14ac:dyDescent="0.25">
      <c r="S40" s="1"/>
    </row>
    <row r="41" spans="1:19" hidden="1" x14ac:dyDescent="0.25">
      <c r="E41" s="142">
        <f>RESUMEN!E29</f>
        <v>4000000</v>
      </c>
      <c r="F41" s="5">
        <v>687500</v>
      </c>
      <c r="G41" s="5">
        <v>950000</v>
      </c>
      <c r="H41" s="5">
        <v>393333.33</v>
      </c>
      <c r="I41" s="5">
        <v>527506.24</v>
      </c>
      <c r="J41" s="5">
        <v>0</v>
      </c>
      <c r="K41" s="5">
        <v>750839.57</v>
      </c>
      <c r="L41" s="5">
        <v>601666.66</v>
      </c>
      <c r="M41" s="5">
        <v>688339.57</v>
      </c>
      <c r="N41" s="5">
        <v>0</v>
      </c>
      <c r="O41" s="5">
        <v>367506.24</v>
      </c>
      <c r="P41" s="5">
        <v>268333.33</v>
      </c>
      <c r="Q41" s="5">
        <v>0</v>
      </c>
      <c r="R41" s="5">
        <f>SUM(F41:Q41)</f>
        <v>5235024.9400000004</v>
      </c>
    </row>
    <row r="42" spans="1:19" hidden="1" x14ac:dyDescent="0.25">
      <c r="E42" s="142">
        <v>2991668.4499919992</v>
      </c>
      <c r="F42" s="5">
        <f t="shared" ref="F42:R42" si="21">F39-F41</f>
        <v>-687500</v>
      </c>
      <c r="G42" s="5">
        <f t="shared" si="21"/>
        <v>250000</v>
      </c>
      <c r="H42" s="5">
        <f t="shared" si="21"/>
        <v>806666.66999999993</v>
      </c>
      <c r="I42" s="5">
        <f t="shared" si="21"/>
        <v>1072493.76</v>
      </c>
      <c r="J42" s="5">
        <f t="shared" si="21"/>
        <v>0</v>
      </c>
      <c r="K42" s="5">
        <f t="shared" si="21"/>
        <v>-750839.57</v>
      </c>
      <c r="L42" s="5">
        <f t="shared" si="21"/>
        <v>-601666.66</v>
      </c>
      <c r="M42" s="5">
        <f t="shared" si="21"/>
        <v>-688339.57</v>
      </c>
      <c r="N42" s="5">
        <f t="shared" si="21"/>
        <v>0</v>
      </c>
      <c r="O42" s="5">
        <f t="shared" si="21"/>
        <v>-367506.24</v>
      </c>
      <c r="P42" s="5">
        <f t="shared" si="21"/>
        <v>-268333.33</v>
      </c>
      <c r="Q42" s="5">
        <f t="shared" si="21"/>
        <v>0</v>
      </c>
      <c r="R42" s="5">
        <f t="shared" si="21"/>
        <v>-1235024.9400000004</v>
      </c>
    </row>
    <row r="43" spans="1:19" hidden="1" x14ac:dyDescent="0.25">
      <c r="E43" s="142">
        <f>+E41-E42</f>
        <v>1008331.5500080008</v>
      </c>
    </row>
    <row r="44" spans="1:19" hidden="1" x14ac:dyDescent="0.25"/>
    <row r="45" spans="1:19" hidden="1" x14ac:dyDescent="0.25">
      <c r="D45" s="5">
        <f>RESUMEN!F29</f>
        <v>4342364.9999999981</v>
      </c>
    </row>
    <row r="46" spans="1:19" hidden="1" x14ac:dyDescent="0.25">
      <c r="D46" s="5">
        <f>E39-D45</f>
        <v>-342364.99999999814</v>
      </c>
    </row>
    <row r="47" spans="1:19" hidden="1" x14ac:dyDescent="0.25"/>
    <row r="48" spans="1:19" hidden="1" x14ac:dyDescent="0.25"/>
    <row r="49" spans="3:4" hidden="1" x14ac:dyDescent="0.25">
      <c r="C49" s="4" t="s">
        <v>383</v>
      </c>
      <c r="D49" s="5">
        <v>550000</v>
      </c>
    </row>
  </sheetData>
  <mergeCells count="7">
    <mergeCell ref="C34:D34"/>
    <mergeCell ref="C37:D37"/>
    <mergeCell ref="B1:E1"/>
    <mergeCell ref="C11:D11"/>
    <mergeCell ref="C16:D16"/>
    <mergeCell ref="C24:D24"/>
    <mergeCell ref="C30:D30"/>
  </mergeCells>
  <phoneticPr fontId="0" type="noConversion"/>
  <printOptions horizontalCentered="1"/>
  <pageMargins left="0.78740157480314965" right="0.78740157480314965" top="1.5354330708661419" bottom="1.5354330708661419" header="0.55118110236220474" footer="0"/>
  <pageSetup scale="64" fitToWidth="0" orientation="landscape" r:id="rId1"/>
  <headerFooter alignWithMargins="0"/>
  <ignoredErrors>
    <ignoredError sqref="H9:I9 J28:Q2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173"/>
  <sheetViews>
    <sheetView tabSelected="1" topLeftCell="A58" zoomScale="90" zoomScaleNormal="90" workbookViewId="0">
      <selection activeCell="C75" sqref="C75"/>
    </sheetView>
  </sheetViews>
  <sheetFormatPr baseColWidth="10" defaultRowHeight="13.2" x14ac:dyDescent="0.25"/>
  <cols>
    <col min="1" max="1" width="7.88671875" style="4" bestFit="1" customWidth="1"/>
    <col min="2" max="2" width="68.109375" style="4" customWidth="1"/>
    <col min="3" max="3" width="15.44140625" style="4" bestFit="1" customWidth="1"/>
    <col min="4" max="11" width="14.109375" style="221" bestFit="1" customWidth="1"/>
    <col min="12" max="12" width="16.109375" style="221" bestFit="1" customWidth="1"/>
    <col min="13" max="13" width="14.109375" style="221" bestFit="1" customWidth="1"/>
    <col min="14" max="14" width="14.88671875" style="221" bestFit="1" customWidth="1"/>
    <col min="15" max="15" width="14.109375" style="221" bestFit="1" customWidth="1"/>
    <col min="16" max="16" width="16" style="222" bestFit="1" customWidth="1"/>
    <col min="17" max="17" width="15.88671875" bestFit="1" customWidth="1"/>
    <col min="18" max="18" width="11.6640625" bestFit="1" customWidth="1"/>
  </cols>
  <sheetData>
    <row r="1" spans="1:18" s="15" customFormat="1" ht="18" thickBot="1" x14ac:dyDescent="0.35">
      <c r="B1" s="267" t="s">
        <v>96</v>
      </c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pans="1:18" s="10" customFormat="1" ht="16.2" thickBot="1" x14ac:dyDescent="0.35">
      <c r="A2" s="78" t="s">
        <v>2</v>
      </c>
      <c r="B2" s="276" t="s">
        <v>44</v>
      </c>
      <c r="C2" s="277"/>
      <c r="D2" s="78" t="s">
        <v>17</v>
      </c>
      <c r="E2" s="78" t="s">
        <v>18</v>
      </c>
      <c r="F2" s="78" t="s">
        <v>19</v>
      </c>
      <c r="G2" s="78" t="s">
        <v>20</v>
      </c>
      <c r="H2" s="78" t="s">
        <v>21</v>
      </c>
      <c r="I2" s="78" t="s">
        <v>22</v>
      </c>
      <c r="J2" s="78" t="s">
        <v>23</v>
      </c>
      <c r="K2" s="78" t="s">
        <v>24</v>
      </c>
      <c r="L2" s="78" t="s">
        <v>25</v>
      </c>
      <c r="M2" s="78" t="s">
        <v>26</v>
      </c>
      <c r="N2" s="78" t="s">
        <v>27</v>
      </c>
      <c r="O2" s="78" t="s">
        <v>28</v>
      </c>
      <c r="P2" s="79" t="s">
        <v>29</v>
      </c>
    </row>
    <row r="3" spans="1:18" ht="13.8" thickBot="1" x14ac:dyDescent="0.3">
      <c r="C3" s="5"/>
    </row>
    <row r="4" spans="1:18" s="10" customFormat="1" ht="16.2" thickBot="1" x14ac:dyDescent="0.35">
      <c r="A4" s="271" t="s">
        <v>3</v>
      </c>
      <c r="B4" s="272"/>
      <c r="C4" s="223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5"/>
      <c r="P4" s="226"/>
      <c r="Q4" s="17"/>
      <c r="R4" s="17"/>
    </row>
    <row r="5" spans="1:18" s="4" customFormat="1" ht="14.4" thickBot="1" x14ac:dyDescent="0.35">
      <c r="A5" s="48">
        <v>1000</v>
      </c>
      <c r="B5" s="4" t="s">
        <v>4</v>
      </c>
      <c r="C5" s="49">
        <f>'1000'!D20</f>
        <v>9265456.5151139069</v>
      </c>
      <c r="D5" s="227">
        <f>'1000'!E20</f>
        <v>699180.43714227004</v>
      </c>
      <c r="E5" s="227">
        <f>'1000'!F20</f>
        <v>699180.43714227004</v>
      </c>
      <c r="F5" s="227">
        <f>'1000'!G20</f>
        <v>699180.43714227004</v>
      </c>
      <c r="G5" s="227">
        <f>'1000'!H20</f>
        <v>703180.43714227004</v>
      </c>
      <c r="H5" s="227">
        <f>'1000'!I20</f>
        <v>699180.43714227004</v>
      </c>
      <c r="I5" s="227">
        <f>'1000'!J20</f>
        <v>699180.43714227004</v>
      </c>
      <c r="J5" s="227">
        <f>'1000'!K20</f>
        <v>757155.92458227009</v>
      </c>
      <c r="K5" s="227">
        <f>'1000'!L20</f>
        <v>699180.43714227004</v>
      </c>
      <c r="L5" s="227">
        <f>'1000'!M20</f>
        <v>699180.43714227004</v>
      </c>
      <c r="M5" s="227">
        <f>'1000'!N20</f>
        <v>699180.43714227004</v>
      </c>
      <c r="N5" s="227">
        <f>'1000'!O20</f>
        <v>699180.43714227004</v>
      </c>
      <c r="O5" s="227">
        <f>'1000'!P20</f>
        <v>1512496.2191089364</v>
      </c>
      <c r="P5" s="228">
        <f>SUM(D5:O5)</f>
        <v>9265456.5151139051</v>
      </c>
      <c r="Q5" s="19"/>
      <c r="R5" s="7"/>
    </row>
    <row r="6" spans="1:18" s="10" customFormat="1" ht="16.2" thickBot="1" x14ac:dyDescent="0.35">
      <c r="A6" s="92"/>
      <c r="B6" s="229" t="s">
        <v>0</v>
      </c>
      <c r="C6" s="94">
        <f>SUM(C5)</f>
        <v>9265456.5151139069</v>
      </c>
      <c r="D6" s="94">
        <f>SUM(D5)</f>
        <v>699180.43714227004</v>
      </c>
      <c r="E6" s="94">
        <f t="shared" ref="E6:O6" si="0">SUM(E5)</f>
        <v>699180.43714227004</v>
      </c>
      <c r="F6" s="94">
        <f t="shared" si="0"/>
        <v>699180.43714227004</v>
      </c>
      <c r="G6" s="94">
        <f t="shared" si="0"/>
        <v>703180.43714227004</v>
      </c>
      <c r="H6" s="94">
        <f t="shared" si="0"/>
        <v>699180.43714227004</v>
      </c>
      <c r="I6" s="94">
        <f t="shared" si="0"/>
        <v>699180.43714227004</v>
      </c>
      <c r="J6" s="94">
        <f t="shared" si="0"/>
        <v>757155.92458227009</v>
      </c>
      <c r="K6" s="94">
        <f t="shared" si="0"/>
        <v>699180.43714227004</v>
      </c>
      <c r="L6" s="94">
        <f t="shared" si="0"/>
        <v>699180.43714227004</v>
      </c>
      <c r="M6" s="94">
        <f t="shared" si="0"/>
        <v>699180.43714227004</v>
      </c>
      <c r="N6" s="94">
        <f t="shared" si="0"/>
        <v>699180.43714227004</v>
      </c>
      <c r="O6" s="94">
        <f t="shared" si="0"/>
        <v>1512496.2191089364</v>
      </c>
      <c r="P6" s="94">
        <f>SUM(D5:O5)</f>
        <v>9265456.5151139051</v>
      </c>
      <c r="Q6" s="19"/>
      <c r="R6" s="17"/>
    </row>
    <row r="7" spans="1:18" ht="14.4" thickBot="1" x14ac:dyDescent="0.35">
      <c r="B7" s="53"/>
      <c r="C7" s="54"/>
      <c r="D7" s="230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2"/>
      <c r="Q7" s="20"/>
      <c r="R7" s="3"/>
    </row>
    <row r="8" spans="1:18" s="10" customFormat="1" ht="16.2" thickBot="1" x14ac:dyDescent="0.35">
      <c r="A8" s="271" t="s">
        <v>5</v>
      </c>
      <c r="B8" s="272"/>
      <c r="C8" s="223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33"/>
      <c r="P8" s="226"/>
      <c r="Q8" s="20"/>
      <c r="R8" s="17"/>
    </row>
    <row r="9" spans="1:18" s="4" customFormat="1" ht="13.8" x14ac:dyDescent="0.3">
      <c r="A9" s="48">
        <v>21101</v>
      </c>
      <c r="B9" s="4" t="s">
        <v>212</v>
      </c>
      <c r="C9" s="49">
        <f>+'2000'!G30</f>
        <v>24868</v>
      </c>
      <c r="D9" s="234">
        <f>'2000'!H30</f>
        <v>2062</v>
      </c>
      <c r="E9" s="234">
        <f>'2000'!I30</f>
        <v>11283</v>
      </c>
      <c r="F9" s="234">
        <f>'2000'!J30</f>
        <v>10455</v>
      </c>
      <c r="G9" s="234">
        <f>'2000'!K30</f>
        <v>220</v>
      </c>
      <c r="H9" s="234">
        <f>'2000'!L30</f>
        <v>361</v>
      </c>
      <c r="I9" s="234">
        <f>'2000'!M30</f>
        <v>251</v>
      </c>
      <c r="J9" s="234">
        <f>'2000'!N30</f>
        <v>62</v>
      </c>
      <c r="K9" s="234">
        <f>'2000'!O30</f>
        <v>48</v>
      </c>
      <c r="L9" s="234">
        <f>'2000'!P30</f>
        <v>48</v>
      </c>
      <c r="M9" s="234">
        <f>'2000'!Q30</f>
        <v>78</v>
      </c>
      <c r="N9" s="234">
        <f>'2000'!R30</f>
        <v>0</v>
      </c>
      <c r="O9" s="234">
        <f>'2000'!S30</f>
        <v>0</v>
      </c>
      <c r="P9" s="235">
        <f t="shared" ref="P9:P17" si="1">SUM(D9:O9)</f>
        <v>24868</v>
      </c>
      <c r="Q9" s="20"/>
      <c r="R9" s="22"/>
    </row>
    <row r="10" spans="1:18" s="4" customFormat="1" ht="13.8" x14ac:dyDescent="0.3">
      <c r="A10" s="48">
        <v>21201</v>
      </c>
      <c r="B10" s="4" t="s">
        <v>214</v>
      </c>
      <c r="C10" s="49">
        <f>'2000'!G37</f>
        <v>11736</v>
      </c>
      <c r="D10" s="234">
        <f>'2000'!H37</f>
        <v>1584</v>
      </c>
      <c r="E10" s="234">
        <f>'2000'!I37</f>
        <v>2434</v>
      </c>
      <c r="F10" s="234">
        <f>'2000'!J37</f>
        <v>1270</v>
      </c>
      <c r="G10" s="234">
        <f>'2000'!K37</f>
        <v>1000</v>
      </c>
      <c r="H10" s="234">
        <f>'2000'!L37</f>
        <v>2164</v>
      </c>
      <c r="I10" s="234">
        <f>'2000'!M37</f>
        <v>1270</v>
      </c>
      <c r="J10" s="234">
        <f>'2000'!N37</f>
        <v>0</v>
      </c>
      <c r="K10" s="234">
        <f>'2000'!O37</f>
        <v>1164</v>
      </c>
      <c r="L10" s="234">
        <f>'2000'!P37</f>
        <v>0</v>
      </c>
      <c r="M10" s="234">
        <f>'2000'!Q37</f>
        <v>0</v>
      </c>
      <c r="N10" s="234">
        <f>'2000'!R37</f>
        <v>850</v>
      </c>
      <c r="O10" s="234">
        <f>'2000'!S37</f>
        <v>0</v>
      </c>
      <c r="P10" s="235">
        <f t="shared" si="1"/>
        <v>11736</v>
      </c>
      <c r="Q10" s="20"/>
      <c r="R10" s="22"/>
    </row>
    <row r="11" spans="1:18" s="4" customFormat="1" ht="13.8" x14ac:dyDescent="0.3">
      <c r="A11" s="48">
        <v>21601</v>
      </c>
      <c r="B11" s="4" t="s">
        <v>6</v>
      </c>
      <c r="C11" s="49">
        <f>'2000'!G56</f>
        <v>5265</v>
      </c>
      <c r="D11" s="85">
        <f>'2000'!H56</f>
        <v>2528</v>
      </c>
      <c r="E11" s="85">
        <f>'2000'!I56</f>
        <v>60</v>
      </c>
      <c r="F11" s="85">
        <f>'2000'!J56</f>
        <v>179</v>
      </c>
      <c r="G11" s="85">
        <f>'2000'!K56</f>
        <v>627</v>
      </c>
      <c r="H11" s="85">
        <f>'2000'!L56</f>
        <v>230</v>
      </c>
      <c r="I11" s="85">
        <f>'2000'!M56</f>
        <v>0</v>
      </c>
      <c r="J11" s="85">
        <f>'2000'!N56</f>
        <v>1641</v>
      </c>
      <c r="K11" s="85">
        <f>'2000'!O56</f>
        <v>0</v>
      </c>
      <c r="L11" s="85">
        <f>'2000'!P56</f>
        <v>0</v>
      </c>
      <c r="M11" s="85">
        <f>'2000'!Q56</f>
        <v>0</v>
      </c>
      <c r="N11" s="85">
        <f>'2000'!R56</f>
        <v>0</v>
      </c>
      <c r="O11" s="85">
        <f>'2000'!S56</f>
        <v>0</v>
      </c>
      <c r="P11" s="235">
        <f t="shared" si="1"/>
        <v>5265</v>
      </c>
      <c r="Q11" s="20"/>
      <c r="R11" s="22"/>
    </row>
    <row r="12" spans="1:18" s="4" customFormat="1" ht="13.8" x14ac:dyDescent="0.3">
      <c r="A12" s="48">
        <v>22101</v>
      </c>
      <c r="B12" s="4" t="s">
        <v>216</v>
      </c>
      <c r="C12" s="49">
        <f>'2000'!G79</f>
        <v>10296</v>
      </c>
      <c r="D12" s="234">
        <f>'2000'!H79</f>
        <v>2808</v>
      </c>
      <c r="E12" s="234">
        <f>'2000'!I79</f>
        <v>290</v>
      </c>
      <c r="F12" s="234">
        <f>'2000'!J79</f>
        <v>603</v>
      </c>
      <c r="G12" s="234">
        <f>'2000'!K79</f>
        <v>1441</v>
      </c>
      <c r="H12" s="234">
        <f>'2000'!L79</f>
        <v>603</v>
      </c>
      <c r="I12" s="234">
        <f>'2000'!M79</f>
        <v>290</v>
      </c>
      <c r="J12" s="234">
        <f>'2000'!N79</f>
        <v>2138</v>
      </c>
      <c r="K12" s="234">
        <f>'2000'!O79</f>
        <v>290</v>
      </c>
      <c r="L12" s="234">
        <f>'2000'!P79</f>
        <v>603</v>
      </c>
      <c r="M12" s="234">
        <f>'2000'!Q79</f>
        <v>924</v>
      </c>
      <c r="N12" s="234">
        <f>'2000'!R79</f>
        <v>196</v>
      </c>
      <c r="O12" s="234">
        <f>'2000'!S79</f>
        <v>110</v>
      </c>
      <c r="P12" s="235">
        <f>SUM(D12:O12)</f>
        <v>10296</v>
      </c>
      <c r="Q12" s="20"/>
      <c r="R12" s="22"/>
    </row>
    <row r="13" spans="1:18" s="4" customFormat="1" ht="13.8" x14ac:dyDescent="0.3">
      <c r="A13" s="48">
        <v>22106</v>
      </c>
      <c r="B13" s="4" t="s">
        <v>218</v>
      </c>
      <c r="C13" s="49">
        <f>'2000'!G83</f>
        <v>2200</v>
      </c>
      <c r="D13" s="234">
        <f>'2000'!H83</f>
        <v>160</v>
      </c>
      <c r="E13" s="234">
        <f>'2000'!I83</f>
        <v>160</v>
      </c>
      <c r="F13" s="234">
        <f>'2000'!J83</f>
        <v>160</v>
      </c>
      <c r="G13" s="234">
        <f>'2000'!K83</f>
        <v>160</v>
      </c>
      <c r="H13" s="234">
        <f>'2000'!L83</f>
        <v>220</v>
      </c>
      <c r="I13" s="234">
        <f>'2000'!M83</f>
        <v>220</v>
      </c>
      <c r="J13" s="234">
        <f>'2000'!N83</f>
        <v>220</v>
      </c>
      <c r="K13" s="234">
        <f>'2000'!O83</f>
        <v>220</v>
      </c>
      <c r="L13" s="234">
        <f>'2000'!P83</f>
        <v>180</v>
      </c>
      <c r="M13" s="234">
        <f>'2000'!Q83</f>
        <v>180</v>
      </c>
      <c r="N13" s="234">
        <f>'2000'!R83</f>
        <v>160</v>
      </c>
      <c r="O13" s="234">
        <f>'2000'!S83</f>
        <v>160</v>
      </c>
      <c r="P13" s="235">
        <f t="shared" si="1"/>
        <v>2200</v>
      </c>
      <c r="Q13" s="20"/>
      <c r="R13" s="22"/>
    </row>
    <row r="14" spans="1:18" s="4" customFormat="1" ht="13.8" x14ac:dyDescent="0.3">
      <c r="A14" s="48">
        <v>26101</v>
      </c>
      <c r="B14" s="4" t="s">
        <v>7</v>
      </c>
      <c r="C14" s="49">
        <f>'2000'!G87</f>
        <v>80000</v>
      </c>
      <c r="D14" s="234">
        <f>'2000'!H87</f>
        <v>6600</v>
      </c>
      <c r="E14" s="234">
        <f>'2000'!I87</f>
        <v>6700</v>
      </c>
      <c r="F14" s="234">
        <f>'2000'!J87</f>
        <v>6700</v>
      </c>
      <c r="G14" s="234">
        <f>'2000'!K87</f>
        <v>6700</v>
      </c>
      <c r="H14" s="234">
        <f>'2000'!L87</f>
        <v>6700</v>
      </c>
      <c r="I14" s="234">
        <f>'2000'!M87</f>
        <v>6700</v>
      </c>
      <c r="J14" s="234">
        <f>'2000'!N87</f>
        <v>6900</v>
      </c>
      <c r="K14" s="234">
        <f>'2000'!O87</f>
        <v>6600</v>
      </c>
      <c r="L14" s="234">
        <f>'2000'!P87</f>
        <v>6600</v>
      </c>
      <c r="M14" s="234">
        <f>'2000'!Q87</f>
        <v>6600</v>
      </c>
      <c r="N14" s="234">
        <f>'2000'!R87</f>
        <v>6600</v>
      </c>
      <c r="O14" s="234">
        <f>'2000'!S87</f>
        <v>6600</v>
      </c>
      <c r="P14" s="235">
        <f t="shared" si="1"/>
        <v>80000</v>
      </c>
      <c r="Q14" s="20"/>
      <c r="R14" s="22"/>
    </row>
    <row r="15" spans="1:18" s="4" customFormat="1" ht="13.8" x14ac:dyDescent="0.3">
      <c r="A15" s="48">
        <v>26102</v>
      </c>
      <c r="B15" s="4" t="s">
        <v>8</v>
      </c>
      <c r="C15" s="49">
        <f>'2000'!G93</f>
        <v>3986</v>
      </c>
      <c r="D15" s="227">
        <f>'2000'!H93</f>
        <v>781</v>
      </c>
      <c r="E15" s="227">
        <f>'2000'!I93</f>
        <v>0</v>
      </c>
      <c r="F15" s="227">
        <f>'2000'!J93</f>
        <v>606</v>
      </c>
      <c r="G15" s="227">
        <f>'2000'!K93</f>
        <v>0</v>
      </c>
      <c r="H15" s="227">
        <f>'2000'!L93</f>
        <v>606</v>
      </c>
      <c r="I15" s="227">
        <f>'2000'!M93</f>
        <v>0</v>
      </c>
      <c r="J15" s="227">
        <f>'2000'!N93</f>
        <v>781</v>
      </c>
      <c r="K15" s="227">
        <f>'2000'!O93</f>
        <v>0</v>
      </c>
      <c r="L15" s="227">
        <f>'2000'!P93</f>
        <v>606</v>
      </c>
      <c r="M15" s="227">
        <f>'2000'!Q93</f>
        <v>0</v>
      </c>
      <c r="N15" s="227">
        <f>'2000'!R93</f>
        <v>606</v>
      </c>
      <c r="O15" s="227">
        <f>'2000'!S93</f>
        <v>0</v>
      </c>
      <c r="P15" s="235">
        <f>SUM(D15:O15)</f>
        <v>3986</v>
      </c>
      <c r="Q15" s="20"/>
      <c r="R15" s="22"/>
    </row>
    <row r="16" spans="1:18" s="4" customFormat="1" ht="13.8" x14ac:dyDescent="0.3">
      <c r="A16" s="48">
        <v>29101</v>
      </c>
      <c r="B16" s="4" t="s">
        <v>141</v>
      </c>
      <c r="C16" s="49">
        <f>'2000'!G97</f>
        <v>227</v>
      </c>
      <c r="D16" s="227">
        <f>'2000'!H96</f>
        <v>227</v>
      </c>
      <c r="E16" s="227">
        <f>'2000'!I96</f>
        <v>0</v>
      </c>
      <c r="F16" s="227">
        <f>'2000'!J96</f>
        <v>0</v>
      </c>
      <c r="G16" s="227">
        <f>'2000'!K96</f>
        <v>0</v>
      </c>
      <c r="H16" s="227">
        <f>'2000'!L96</f>
        <v>0</v>
      </c>
      <c r="I16" s="227">
        <f>'2000'!M96</f>
        <v>0</v>
      </c>
      <c r="J16" s="227">
        <f>'2000'!N96</f>
        <v>0</v>
      </c>
      <c r="K16" s="227">
        <f>'2000'!O96</f>
        <v>0</v>
      </c>
      <c r="L16" s="227">
        <f>'2000'!P96</f>
        <v>0</v>
      </c>
      <c r="M16" s="227">
        <f>'2000'!Q96</f>
        <v>0</v>
      </c>
      <c r="N16" s="227">
        <f>'2000'!R96</f>
        <v>0</v>
      </c>
      <c r="O16" s="227">
        <f>'2000'!S96</f>
        <v>0</v>
      </c>
      <c r="P16" s="235">
        <f t="shared" ref="P16" si="2">SUM(D16:O16)</f>
        <v>227</v>
      </c>
      <c r="Q16" s="20"/>
      <c r="R16" s="22"/>
    </row>
    <row r="17" spans="1:18" s="4" customFormat="1" ht="14.4" thickBot="1" x14ac:dyDescent="0.35">
      <c r="A17" s="48">
        <v>27101</v>
      </c>
      <c r="B17" s="4" t="s">
        <v>340</v>
      </c>
      <c r="C17" s="49">
        <f>'2000'!G101</f>
        <v>0</v>
      </c>
      <c r="D17" s="227">
        <f>'2000'!H101</f>
        <v>0</v>
      </c>
      <c r="E17" s="227">
        <f>'2000'!I101</f>
        <v>0</v>
      </c>
      <c r="F17" s="227">
        <f>'2000'!J101</f>
        <v>0</v>
      </c>
      <c r="G17" s="227">
        <f>'2000'!K101</f>
        <v>0</v>
      </c>
      <c r="H17" s="227">
        <f>'2000'!L101</f>
        <v>0</v>
      </c>
      <c r="I17" s="227">
        <f>'2000'!M101</f>
        <v>0</v>
      </c>
      <c r="J17" s="227">
        <f>'2000'!N101</f>
        <v>0</v>
      </c>
      <c r="K17" s="227">
        <f>'2000'!O101</f>
        <v>0</v>
      </c>
      <c r="L17" s="227">
        <f>'2000'!P101</f>
        <v>0</v>
      </c>
      <c r="M17" s="227">
        <f>'2000'!Q101</f>
        <v>0</v>
      </c>
      <c r="N17" s="227">
        <f>'2000'!R101</f>
        <v>0</v>
      </c>
      <c r="O17" s="227">
        <f>'2000'!S101</f>
        <v>0</v>
      </c>
      <c r="P17" s="235">
        <f t="shared" si="1"/>
        <v>0</v>
      </c>
      <c r="Q17" s="19"/>
      <c r="R17" s="22"/>
    </row>
    <row r="18" spans="1:18" s="18" customFormat="1" ht="16.2" thickBot="1" x14ac:dyDescent="0.35">
      <c r="A18" s="92"/>
      <c r="B18" s="229" t="s">
        <v>0</v>
      </c>
      <c r="C18" s="94">
        <f>SUM(C9:C17)</f>
        <v>138578</v>
      </c>
      <c r="D18" s="236">
        <f>SUM(D9:D17)</f>
        <v>16750</v>
      </c>
      <c r="E18" s="236">
        <f t="shared" ref="E18:O18" si="3">SUM(E9:E17)</f>
        <v>20927</v>
      </c>
      <c r="F18" s="236">
        <f t="shared" si="3"/>
        <v>19973</v>
      </c>
      <c r="G18" s="236">
        <f t="shared" si="3"/>
        <v>10148</v>
      </c>
      <c r="H18" s="236">
        <f t="shared" si="3"/>
        <v>10884</v>
      </c>
      <c r="I18" s="236">
        <f t="shared" si="3"/>
        <v>8731</v>
      </c>
      <c r="J18" s="236">
        <f t="shared" si="3"/>
        <v>11742</v>
      </c>
      <c r="K18" s="236">
        <f t="shared" si="3"/>
        <v>8322</v>
      </c>
      <c r="L18" s="236">
        <f t="shared" si="3"/>
        <v>8037</v>
      </c>
      <c r="M18" s="236">
        <f t="shared" si="3"/>
        <v>7782</v>
      </c>
      <c r="N18" s="236">
        <f t="shared" si="3"/>
        <v>8412</v>
      </c>
      <c r="O18" s="236">
        <f t="shared" si="3"/>
        <v>6870</v>
      </c>
      <c r="P18" s="236">
        <f>SUM(P9:P17)</f>
        <v>138578</v>
      </c>
      <c r="Q18" s="19"/>
      <c r="R18" s="22"/>
    </row>
    <row r="19" spans="1:18" ht="14.4" thickBot="1" x14ac:dyDescent="0.35">
      <c r="B19" s="53"/>
      <c r="C19" s="54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2"/>
      <c r="Q19" s="20"/>
      <c r="R19" s="22"/>
    </row>
    <row r="20" spans="1:18" s="10" customFormat="1" ht="16.2" thickBot="1" x14ac:dyDescent="0.35">
      <c r="A20" s="271" t="s">
        <v>9</v>
      </c>
      <c r="B20" s="272"/>
      <c r="C20" s="223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33"/>
      <c r="P20" s="226"/>
      <c r="Q20" s="20"/>
      <c r="R20" s="22"/>
    </row>
    <row r="21" spans="1:18" s="4" customFormat="1" ht="13.8" x14ac:dyDescent="0.3">
      <c r="A21" s="48">
        <v>31101</v>
      </c>
      <c r="B21" s="4" t="s">
        <v>221</v>
      </c>
      <c r="C21" s="49">
        <f>'3000'!G6</f>
        <v>96000</v>
      </c>
      <c r="D21" s="234">
        <f>'3000'!H6</f>
        <v>8000</v>
      </c>
      <c r="E21" s="234">
        <f>'3000'!I6</f>
        <v>8000</v>
      </c>
      <c r="F21" s="234">
        <f>'3000'!J6</f>
        <v>8000</v>
      </c>
      <c r="G21" s="234">
        <f>'3000'!K6</f>
        <v>8000</v>
      </c>
      <c r="H21" s="234">
        <f>'3000'!L6</f>
        <v>8000</v>
      </c>
      <c r="I21" s="234">
        <f>'3000'!M6</f>
        <v>8000</v>
      </c>
      <c r="J21" s="234">
        <f>'3000'!N6</f>
        <v>8000</v>
      </c>
      <c r="K21" s="234">
        <f>'3000'!O6</f>
        <v>8000</v>
      </c>
      <c r="L21" s="234">
        <f>'3000'!P6</f>
        <v>8000</v>
      </c>
      <c r="M21" s="234">
        <f>'3000'!Q6</f>
        <v>8000</v>
      </c>
      <c r="N21" s="234">
        <f>'3000'!R6</f>
        <v>8000</v>
      </c>
      <c r="O21" s="234">
        <f>'3000'!S6</f>
        <v>8000</v>
      </c>
      <c r="P21" s="235">
        <f t="shared" ref="P21:P52" si="4">SUM(D21:O21)</f>
        <v>96000</v>
      </c>
      <c r="Q21" s="20"/>
      <c r="R21" s="22"/>
    </row>
    <row r="22" spans="1:18" s="4" customFormat="1" ht="13.8" x14ac:dyDescent="0.3">
      <c r="A22" s="48">
        <v>31301</v>
      </c>
      <c r="B22" s="4" t="s">
        <v>289</v>
      </c>
      <c r="C22" s="49">
        <f>'3000'!G10</f>
        <v>0</v>
      </c>
      <c r="D22" s="234">
        <f>'3000'!H10</f>
        <v>0</v>
      </c>
      <c r="E22" s="234">
        <f>'3000'!I10</f>
        <v>0</v>
      </c>
      <c r="F22" s="234">
        <f>'3000'!J10</f>
        <v>0</v>
      </c>
      <c r="G22" s="234">
        <f>'3000'!K10</f>
        <v>0</v>
      </c>
      <c r="H22" s="234">
        <f>'3000'!L10</f>
        <v>0</v>
      </c>
      <c r="I22" s="234">
        <f>'3000'!M10</f>
        <v>0</v>
      </c>
      <c r="J22" s="234">
        <f>'3000'!N10</f>
        <v>0</v>
      </c>
      <c r="K22" s="234">
        <f>'3000'!O10</f>
        <v>0</v>
      </c>
      <c r="L22" s="234">
        <f>'3000'!P10</f>
        <v>0</v>
      </c>
      <c r="M22" s="234">
        <f>'3000'!Q10</f>
        <v>0</v>
      </c>
      <c r="N22" s="234">
        <f>'3000'!R10</f>
        <v>0</v>
      </c>
      <c r="O22" s="234">
        <f>'3000'!S10</f>
        <v>0</v>
      </c>
      <c r="P22" s="235">
        <f t="shared" si="4"/>
        <v>0</v>
      </c>
      <c r="Q22" s="20"/>
      <c r="R22" s="22"/>
    </row>
    <row r="23" spans="1:18" s="4" customFormat="1" ht="13.8" x14ac:dyDescent="0.3">
      <c r="A23" s="48">
        <v>31401</v>
      </c>
      <c r="B23" s="4" t="s">
        <v>261</v>
      </c>
      <c r="C23" s="49">
        <f>'3000'!G14</f>
        <v>86400</v>
      </c>
      <c r="D23" s="234">
        <f>'3000'!H14</f>
        <v>7200</v>
      </c>
      <c r="E23" s="234">
        <f>'3000'!I14</f>
        <v>7200</v>
      </c>
      <c r="F23" s="234">
        <f>'3000'!J14</f>
        <v>7200</v>
      </c>
      <c r="G23" s="234">
        <f>'3000'!K14</f>
        <v>7200</v>
      </c>
      <c r="H23" s="234">
        <f>'3000'!L14</f>
        <v>7200</v>
      </c>
      <c r="I23" s="234">
        <f>'3000'!M14</f>
        <v>7200</v>
      </c>
      <c r="J23" s="234">
        <f>'3000'!N14</f>
        <v>7200</v>
      </c>
      <c r="K23" s="234">
        <f>'3000'!O14</f>
        <v>7200</v>
      </c>
      <c r="L23" s="234">
        <f>'3000'!P14</f>
        <v>7200</v>
      </c>
      <c r="M23" s="234">
        <f>'3000'!Q14</f>
        <v>7200</v>
      </c>
      <c r="N23" s="234">
        <f>'3000'!R14</f>
        <v>7200</v>
      </c>
      <c r="O23" s="234">
        <f>'3000'!S14</f>
        <v>7200</v>
      </c>
      <c r="P23" s="235">
        <f t="shared" si="4"/>
        <v>86400</v>
      </c>
      <c r="Q23" s="20"/>
      <c r="R23" s="22"/>
    </row>
    <row r="24" spans="1:18" s="4" customFormat="1" ht="13.8" x14ac:dyDescent="0.3">
      <c r="A24" s="48">
        <v>31501</v>
      </c>
      <c r="B24" s="4" t="s">
        <v>182</v>
      </c>
      <c r="C24" s="49">
        <f>'3000'!G18</f>
        <v>0</v>
      </c>
      <c r="D24" s="234">
        <f>'3000'!H18</f>
        <v>0</v>
      </c>
      <c r="E24" s="234">
        <f>'3000'!I18</f>
        <v>0</v>
      </c>
      <c r="F24" s="234">
        <f>'3000'!J18</f>
        <v>0</v>
      </c>
      <c r="G24" s="234">
        <f>'3000'!K18</f>
        <v>0</v>
      </c>
      <c r="H24" s="234">
        <f>'3000'!L18</f>
        <v>0</v>
      </c>
      <c r="I24" s="234">
        <f>'3000'!M18</f>
        <v>0</v>
      </c>
      <c r="J24" s="234">
        <f>'3000'!N18</f>
        <v>0</v>
      </c>
      <c r="K24" s="234">
        <f>'3000'!O18</f>
        <v>0</v>
      </c>
      <c r="L24" s="234">
        <f>'3000'!P18</f>
        <v>0</v>
      </c>
      <c r="M24" s="234">
        <f>'3000'!Q18</f>
        <v>0</v>
      </c>
      <c r="N24" s="234">
        <f>'3000'!R18</f>
        <v>0</v>
      </c>
      <c r="O24" s="234">
        <f>'3000'!S18</f>
        <v>0</v>
      </c>
      <c r="P24" s="235">
        <f t="shared" si="4"/>
        <v>0</v>
      </c>
      <c r="Q24" s="21"/>
      <c r="R24" s="22"/>
    </row>
    <row r="25" spans="1:18" s="4" customFormat="1" ht="13.8" x14ac:dyDescent="0.3">
      <c r="A25" s="48">
        <v>32201</v>
      </c>
      <c r="B25" s="4" t="s">
        <v>226</v>
      </c>
      <c r="C25" s="49">
        <f>'3000'!G23</f>
        <v>216000</v>
      </c>
      <c r="D25" s="234">
        <f>'3000'!H23</f>
        <v>18000</v>
      </c>
      <c r="E25" s="234">
        <f>'3000'!I23</f>
        <v>18000</v>
      </c>
      <c r="F25" s="234">
        <f>'3000'!J23</f>
        <v>18000</v>
      </c>
      <c r="G25" s="234">
        <f>'3000'!K23</f>
        <v>18000</v>
      </c>
      <c r="H25" s="234">
        <f>'3000'!L23</f>
        <v>18000</v>
      </c>
      <c r="I25" s="234">
        <f>'3000'!M23</f>
        <v>18000</v>
      </c>
      <c r="J25" s="234">
        <f>'3000'!N23</f>
        <v>18000</v>
      </c>
      <c r="K25" s="234">
        <f>'3000'!O23</f>
        <v>18000</v>
      </c>
      <c r="L25" s="234">
        <f>'3000'!P23</f>
        <v>18000</v>
      </c>
      <c r="M25" s="234">
        <f>'3000'!Q23</f>
        <v>18000</v>
      </c>
      <c r="N25" s="234">
        <f>'3000'!R23</f>
        <v>18000</v>
      </c>
      <c r="O25" s="234">
        <f>'3000'!S23</f>
        <v>18000</v>
      </c>
      <c r="P25" s="235">
        <f t="shared" si="4"/>
        <v>216000</v>
      </c>
      <c r="Q25" s="20"/>
      <c r="R25" s="22"/>
    </row>
    <row r="26" spans="1:18" s="4" customFormat="1" ht="13.8" x14ac:dyDescent="0.3">
      <c r="A26" s="48">
        <v>32301</v>
      </c>
      <c r="B26" s="4" t="s">
        <v>37</v>
      </c>
      <c r="C26" s="49">
        <f>'3000'!G27</f>
        <v>58800</v>
      </c>
      <c r="D26" s="234">
        <f>'3000'!H27</f>
        <v>4900</v>
      </c>
      <c r="E26" s="234">
        <f>'3000'!I27</f>
        <v>4900</v>
      </c>
      <c r="F26" s="234">
        <f>'3000'!J27</f>
        <v>4900</v>
      </c>
      <c r="G26" s="234">
        <f>'3000'!K27</f>
        <v>4900</v>
      </c>
      <c r="H26" s="234">
        <f>'3000'!L27</f>
        <v>4900</v>
      </c>
      <c r="I26" s="234">
        <f>'3000'!M27</f>
        <v>4900</v>
      </c>
      <c r="J26" s="234">
        <f>'3000'!N27</f>
        <v>4900</v>
      </c>
      <c r="K26" s="234">
        <f>'3000'!O27</f>
        <v>4900</v>
      </c>
      <c r="L26" s="234">
        <f>'3000'!P27</f>
        <v>4900</v>
      </c>
      <c r="M26" s="234">
        <f>'3000'!Q27</f>
        <v>4900</v>
      </c>
      <c r="N26" s="234">
        <f>'3000'!R27</f>
        <v>4900</v>
      </c>
      <c r="O26" s="234">
        <f>'3000'!S27</f>
        <v>4900</v>
      </c>
      <c r="P26" s="235">
        <f t="shared" si="4"/>
        <v>58800</v>
      </c>
      <c r="Q26" s="20"/>
      <c r="R26" s="22"/>
    </row>
    <row r="27" spans="1:18" s="4" customFormat="1" ht="13.8" x14ac:dyDescent="0.3">
      <c r="A27" s="48">
        <v>33101</v>
      </c>
      <c r="B27" s="4" t="s">
        <v>228</v>
      </c>
      <c r="C27" s="49">
        <f>'3000'!G34</f>
        <v>76401</v>
      </c>
      <c r="D27" s="234">
        <f>'3000'!H34</f>
        <v>9051</v>
      </c>
      <c r="E27" s="234">
        <f>'3000'!I34</f>
        <v>0</v>
      </c>
      <c r="F27" s="234">
        <f>'3000'!J34</f>
        <v>0</v>
      </c>
      <c r="G27" s="234">
        <f>'3000'!K34</f>
        <v>0</v>
      </c>
      <c r="H27" s="234">
        <f>'3000'!L34</f>
        <v>0</v>
      </c>
      <c r="I27" s="234">
        <f>'3000'!M34</f>
        <v>22450</v>
      </c>
      <c r="J27" s="234">
        <f>'3000'!N34</f>
        <v>0</v>
      </c>
      <c r="K27" s="234">
        <f>'3000'!O34</f>
        <v>0</v>
      </c>
      <c r="L27" s="234">
        <f>'3000'!P34</f>
        <v>22450</v>
      </c>
      <c r="M27" s="234">
        <f>'3000'!Q34</f>
        <v>0</v>
      </c>
      <c r="N27" s="234">
        <f>'3000'!R34</f>
        <v>22450</v>
      </c>
      <c r="O27" s="234">
        <f>'3000'!S34</f>
        <v>0</v>
      </c>
      <c r="P27" s="235">
        <f t="shared" si="4"/>
        <v>76401</v>
      </c>
      <c r="Q27" s="20"/>
      <c r="R27" s="22"/>
    </row>
    <row r="28" spans="1:18" s="4" customFormat="1" ht="13.8" x14ac:dyDescent="0.3">
      <c r="A28" s="48">
        <v>33201</v>
      </c>
      <c r="B28" s="4" t="s">
        <v>232</v>
      </c>
      <c r="C28" s="49">
        <f>'3000'!G39</f>
        <v>42000</v>
      </c>
      <c r="D28" s="234">
        <f>'3000'!H39</f>
        <v>7000</v>
      </c>
      <c r="E28" s="234">
        <f>'3000'!I39</f>
        <v>0</v>
      </c>
      <c r="F28" s="234">
        <f>'3000'!J39</f>
        <v>7000</v>
      </c>
      <c r="G28" s="234">
        <f>'3000'!K39</f>
        <v>0</v>
      </c>
      <c r="H28" s="234">
        <f>'3000'!L39</f>
        <v>7000</v>
      </c>
      <c r="I28" s="234">
        <f>'3000'!M39</f>
        <v>0</v>
      </c>
      <c r="J28" s="234">
        <f>'3000'!N39</f>
        <v>7000</v>
      </c>
      <c r="K28" s="234">
        <f>'3000'!O39</f>
        <v>0</v>
      </c>
      <c r="L28" s="234">
        <f>'3000'!P39</f>
        <v>7000</v>
      </c>
      <c r="M28" s="234">
        <f>'3000'!Q39</f>
        <v>0</v>
      </c>
      <c r="N28" s="234">
        <f>'3000'!R39</f>
        <v>7000</v>
      </c>
      <c r="O28" s="234">
        <f>'3000'!S39</f>
        <v>0</v>
      </c>
      <c r="P28" s="235">
        <f t="shared" si="4"/>
        <v>42000</v>
      </c>
      <c r="Q28" s="20"/>
      <c r="R28" s="22"/>
    </row>
    <row r="29" spans="1:18" s="4" customFormat="1" ht="13.8" x14ac:dyDescent="0.3">
      <c r="A29" s="48">
        <v>33603</v>
      </c>
      <c r="B29" s="4" t="s">
        <v>71</v>
      </c>
      <c r="C29" s="49">
        <f>'3000'!G48</f>
        <v>3900</v>
      </c>
      <c r="D29" s="234">
        <v>2100</v>
      </c>
      <c r="E29" s="234">
        <v>1200</v>
      </c>
      <c r="F29" s="234">
        <f>'3000'!J48</f>
        <v>0</v>
      </c>
      <c r="G29" s="234">
        <f>'3000'!K48</f>
        <v>300</v>
      </c>
      <c r="H29" s="234">
        <f>'3000'!L48</f>
        <v>0</v>
      </c>
      <c r="I29" s="234">
        <f>'3000'!M48</f>
        <v>0</v>
      </c>
      <c r="J29" s="234">
        <v>300</v>
      </c>
      <c r="K29" s="234">
        <f>'3000'!O48</f>
        <v>0</v>
      </c>
      <c r="L29" s="234">
        <f>'3000'!P48</f>
        <v>0</v>
      </c>
      <c r="M29" s="234">
        <f>'3000'!Q48</f>
        <v>0</v>
      </c>
      <c r="N29" s="234">
        <f>'3000'!R48</f>
        <v>0</v>
      </c>
      <c r="O29" s="234">
        <f>'3000'!S48</f>
        <v>0</v>
      </c>
      <c r="P29" s="235">
        <f>SUM(D29:O29)</f>
        <v>3900</v>
      </c>
      <c r="Q29" s="20"/>
      <c r="R29" s="22"/>
    </row>
    <row r="30" spans="1:18" s="4" customFormat="1" ht="13.8" x14ac:dyDescent="0.3">
      <c r="A30" s="48">
        <v>33605</v>
      </c>
      <c r="B30" s="4" t="s">
        <v>233</v>
      </c>
      <c r="C30" s="49">
        <f>'3000'!G52</f>
        <v>60000</v>
      </c>
      <c r="D30" s="234">
        <f>'3000'!H52</f>
        <v>30000</v>
      </c>
      <c r="E30" s="234">
        <f>'3000'!I52</f>
        <v>30000</v>
      </c>
      <c r="F30" s="234">
        <f>'3000'!J52</f>
        <v>0</v>
      </c>
      <c r="G30" s="234">
        <f>'3000'!K52</f>
        <v>0</v>
      </c>
      <c r="H30" s="234">
        <f>'3000'!L52</f>
        <v>0</v>
      </c>
      <c r="I30" s="234">
        <f>'3000'!M52</f>
        <v>0</v>
      </c>
      <c r="J30" s="234">
        <f>'3000'!N52</f>
        <v>0</v>
      </c>
      <c r="K30" s="234">
        <f>'3000'!O52</f>
        <v>0</v>
      </c>
      <c r="L30" s="234">
        <f>'3000'!P52</f>
        <v>0</v>
      </c>
      <c r="M30" s="234">
        <f>'3000'!Q52</f>
        <v>0</v>
      </c>
      <c r="N30" s="234">
        <f>'3000'!R52</f>
        <v>0</v>
      </c>
      <c r="O30" s="234">
        <f>'3000'!S52</f>
        <v>0</v>
      </c>
      <c r="P30" s="235">
        <f t="shared" si="4"/>
        <v>60000</v>
      </c>
      <c r="Q30" s="20"/>
      <c r="R30" s="22"/>
    </row>
    <row r="31" spans="1:18" s="4" customFormat="1" ht="13.8" x14ac:dyDescent="0.3">
      <c r="A31" s="48">
        <v>33901</v>
      </c>
      <c r="B31" s="4" t="s">
        <v>191</v>
      </c>
      <c r="C31" s="49">
        <f>'3000'!G59</f>
        <v>879410.25</v>
      </c>
      <c r="D31" s="234">
        <f>'3000'!H59</f>
        <v>65141.5</v>
      </c>
      <c r="E31" s="234">
        <f>'3000'!I59</f>
        <v>65141.5</v>
      </c>
      <c r="F31" s="234">
        <f>'3000'!J59</f>
        <v>65141.5</v>
      </c>
      <c r="G31" s="234">
        <f>'3000'!K59</f>
        <v>65141.5</v>
      </c>
      <c r="H31" s="234">
        <f>'3000'!L59</f>
        <v>65141.5</v>
      </c>
      <c r="I31" s="234">
        <f>'3000'!M59</f>
        <v>65141.5</v>
      </c>
      <c r="J31" s="234">
        <f>'3000'!N59</f>
        <v>97712.25</v>
      </c>
      <c r="K31" s="234">
        <f>'3000'!O59</f>
        <v>65141.5</v>
      </c>
      <c r="L31" s="234">
        <f>'3000'!P59</f>
        <v>65141.5</v>
      </c>
      <c r="M31" s="234">
        <f>'3000'!Q59</f>
        <v>65141.5</v>
      </c>
      <c r="N31" s="234">
        <f>'3000'!R59</f>
        <v>65141.5</v>
      </c>
      <c r="O31" s="234">
        <f>'3000'!S59</f>
        <v>130283</v>
      </c>
      <c r="P31" s="235">
        <f>SUM(D31:O31)</f>
        <v>879410.25</v>
      </c>
      <c r="Q31" s="20"/>
      <c r="R31" s="22"/>
    </row>
    <row r="32" spans="1:18" s="4" customFormat="1" ht="13.8" x14ac:dyDescent="0.3">
      <c r="A32" s="48">
        <v>34101</v>
      </c>
      <c r="B32" s="4" t="s">
        <v>257</v>
      </c>
      <c r="C32" s="49">
        <f>'3000'!G65</f>
        <v>3600</v>
      </c>
      <c r="D32" s="234">
        <f>'3000'!H65</f>
        <v>300</v>
      </c>
      <c r="E32" s="234">
        <f>'3000'!I65</f>
        <v>300</v>
      </c>
      <c r="F32" s="234">
        <f>'3000'!J65</f>
        <v>300</v>
      </c>
      <c r="G32" s="234">
        <f>'3000'!K65</f>
        <v>300</v>
      </c>
      <c r="H32" s="234">
        <f>'3000'!L65</f>
        <v>300</v>
      </c>
      <c r="I32" s="234">
        <f>'3000'!M65</f>
        <v>300</v>
      </c>
      <c r="J32" s="234">
        <f>'3000'!N65</f>
        <v>300</v>
      </c>
      <c r="K32" s="234">
        <f>'3000'!O65</f>
        <v>300</v>
      </c>
      <c r="L32" s="234">
        <f>'3000'!P65</f>
        <v>300</v>
      </c>
      <c r="M32" s="234">
        <f>'3000'!Q65</f>
        <v>300</v>
      </c>
      <c r="N32" s="234">
        <f>'3000'!R65</f>
        <v>300</v>
      </c>
      <c r="O32" s="234">
        <f>'3000'!S65</f>
        <v>300</v>
      </c>
      <c r="P32" s="235">
        <f t="shared" si="4"/>
        <v>3600</v>
      </c>
      <c r="Q32" s="20"/>
      <c r="R32" s="22"/>
    </row>
    <row r="33" spans="1:18" s="4" customFormat="1" ht="13.8" x14ac:dyDescent="0.3">
      <c r="A33" s="48">
        <v>34401</v>
      </c>
      <c r="B33" s="4" t="s">
        <v>193</v>
      </c>
      <c r="C33" s="49">
        <f>'3000'!G70</f>
        <v>14000</v>
      </c>
      <c r="D33" s="234">
        <f>'3000'!H70</f>
        <v>14000</v>
      </c>
      <c r="E33" s="234">
        <f>'3000'!I70</f>
        <v>0</v>
      </c>
      <c r="F33" s="234">
        <f>'3000'!J70</f>
        <v>0</v>
      </c>
      <c r="G33" s="234">
        <f>'3000'!K70</f>
        <v>0</v>
      </c>
      <c r="H33" s="234">
        <f>'3000'!L70</f>
        <v>0</v>
      </c>
      <c r="I33" s="234">
        <f>'3000'!M70</f>
        <v>0</v>
      </c>
      <c r="J33" s="234">
        <f>'3000'!N70</f>
        <v>0</v>
      </c>
      <c r="K33" s="234">
        <f>'3000'!O70</f>
        <v>0</v>
      </c>
      <c r="L33" s="234">
        <f>'3000'!P70</f>
        <v>0</v>
      </c>
      <c r="M33" s="234">
        <f>'3000'!Q70</f>
        <v>0</v>
      </c>
      <c r="N33" s="234">
        <f>'3000'!R70</f>
        <v>0</v>
      </c>
      <c r="O33" s="234">
        <f>'3000'!S70</f>
        <v>0</v>
      </c>
      <c r="P33" s="235">
        <f t="shared" si="4"/>
        <v>14000</v>
      </c>
      <c r="Q33" s="20"/>
      <c r="R33" s="22"/>
    </row>
    <row r="34" spans="1:18" s="4" customFormat="1" ht="13.8" x14ac:dyDescent="0.3">
      <c r="A34" s="48">
        <v>34701</v>
      </c>
      <c r="B34" s="4" t="s">
        <v>195</v>
      </c>
      <c r="C34" s="49">
        <f>'3000'!G74</f>
        <v>2400</v>
      </c>
      <c r="D34" s="234">
        <f>'3000'!H74</f>
        <v>400</v>
      </c>
      <c r="E34" s="234">
        <f>'3000'!I74</f>
        <v>0</v>
      </c>
      <c r="F34" s="234">
        <f>'3000'!J74</f>
        <v>400</v>
      </c>
      <c r="G34" s="234">
        <f>'3000'!K74</f>
        <v>400</v>
      </c>
      <c r="H34" s="234">
        <f>'3000'!L74</f>
        <v>0</v>
      </c>
      <c r="I34" s="234">
        <f>'3000'!M74</f>
        <v>0</v>
      </c>
      <c r="J34" s="234">
        <f>'3000'!N74</f>
        <v>400</v>
      </c>
      <c r="K34" s="234">
        <f>'3000'!O74</f>
        <v>0</v>
      </c>
      <c r="L34" s="234">
        <f>'3000'!P74</f>
        <v>0</v>
      </c>
      <c r="M34" s="234">
        <f>'3000'!Q74</f>
        <v>400</v>
      </c>
      <c r="N34" s="234">
        <f>'3000'!R74</f>
        <v>400</v>
      </c>
      <c r="O34" s="234">
        <f>'3000'!S74</f>
        <v>0</v>
      </c>
      <c r="P34" s="235">
        <f t="shared" si="4"/>
        <v>2400</v>
      </c>
      <c r="Q34" s="20"/>
      <c r="R34" s="22"/>
    </row>
    <row r="35" spans="1:18" s="4" customFormat="1" ht="13.8" x14ac:dyDescent="0.3">
      <c r="A35" s="48">
        <v>35101</v>
      </c>
      <c r="B35" s="4" t="s">
        <v>236</v>
      </c>
      <c r="C35" s="49">
        <f>'3000'!G81</f>
        <v>60000</v>
      </c>
      <c r="D35" s="234">
        <f>'3000'!H81</f>
        <v>5500</v>
      </c>
      <c r="E35" s="234">
        <f>'3000'!I81</f>
        <v>4500</v>
      </c>
      <c r="F35" s="234">
        <f>'3000'!J81</f>
        <v>5500</v>
      </c>
      <c r="G35" s="234">
        <f>'3000'!K81</f>
        <v>4500</v>
      </c>
      <c r="H35" s="234">
        <f>'3000'!L81</f>
        <v>5500</v>
      </c>
      <c r="I35" s="234">
        <f>'3000'!M81</f>
        <v>4500</v>
      </c>
      <c r="J35" s="234">
        <f>'3000'!N81</f>
        <v>5500</v>
      </c>
      <c r="K35" s="234">
        <f>'3000'!O81</f>
        <v>4500</v>
      </c>
      <c r="L35" s="234">
        <f>'3000'!P81</f>
        <v>5500</v>
      </c>
      <c r="M35" s="234">
        <f>'3000'!Q81</f>
        <v>4500</v>
      </c>
      <c r="N35" s="234">
        <f>'3000'!R81</f>
        <v>5500</v>
      </c>
      <c r="O35" s="234">
        <f>'3000'!S81</f>
        <v>4500</v>
      </c>
      <c r="P35" s="235">
        <f>SUM(D35:O35)</f>
        <v>60000</v>
      </c>
      <c r="Q35" s="20"/>
      <c r="R35" s="22"/>
    </row>
    <row r="36" spans="1:18" s="4" customFormat="1" ht="13.8" x14ac:dyDescent="0.3">
      <c r="A36" s="48">
        <v>35201</v>
      </c>
      <c r="B36" s="4" t="s">
        <v>237</v>
      </c>
      <c r="C36" s="49">
        <f>'3000'!G85</f>
        <v>0</v>
      </c>
      <c r="D36" s="234">
        <f>'3000'!H85</f>
        <v>0</v>
      </c>
      <c r="E36" s="234">
        <f>'3000'!I85</f>
        <v>0</v>
      </c>
      <c r="F36" s="234">
        <f>'3000'!J85</f>
        <v>0</v>
      </c>
      <c r="G36" s="234">
        <f>'3000'!K85</f>
        <v>0</v>
      </c>
      <c r="H36" s="234">
        <f>'3000'!L85</f>
        <v>0</v>
      </c>
      <c r="I36" s="234">
        <f>'3000'!M85</f>
        <v>0</v>
      </c>
      <c r="J36" s="234">
        <f>'3000'!N85</f>
        <v>0</v>
      </c>
      <c r="K36" s="234">
        <f>'3000'!O85</f>
        <v>0</v>
      </c>
      <c r="L36" s="234">
        <f>'3000'!P85</f>
        <v>0</v>
      </c>
      <c r="M36" s="234">
        <f>'3000'!Q85</f>
        <v>0</v>
      </c>
      <c r="N36" s="234">
        <f>'3000'!R85</f>
        <v>0</v>
      </c>
      <c r="O36" s="234">
        <f>'3000'!S85</f>
        <v>0</v>
      </c>
      <c r="P36" s="235">
        <f t="shared" si="4"/>
        <v>0</v>
      </c>
      <c r="Q36" s="20"/>
      <c r="R36" s="22"/>
    </row>
    <row r="37" spans="1:18" s="4" customFormat="1" ht="13.8" x14ac:dyDescent="0.3">
      <c r="A37" s="48">
        <v>35501</v>
      </c>
      <c r="B37" s="4" t="s">
        <v>239</v>
      </c>
      <c r="C37" s="49">
        <f>'3000'!G89</f>
        <v>13348.33</v>
      </c>
      <c r="D37" s="234">
        <f>'3000'!H89</f>
        <v>0</v>
      </c>
      <c r="E37" s="234">
        <f>'3000'!I89</f>
        <v>6674.165</v>
      </c>
      <c r="F37" s="234">
        <f>'3000'!J89</f>
        <v>0</v>
      </c>
      <c r="G37" s="234">
        <f>'3000'!K89</f>
        <v>0</v>
      </c>
      <c r="H37" s="234">
        <f>'3000'!L89</f>
        <v>0</v>
      </c>
      <c r="I37" s="234">
        <f>'3000'!M89</f>
        <v>0</v>
      </c>
      <c r="J37" s="234">
        <f>'3000'!N89</f>
        <v>6674.165</v>
      </c>
      <c r="K37" s="234">
        <f>'3000'!O89</f>
        <v>0</v>
      </c>
      <c r="L37" s="234">
        <f>'3000'!P89</f>
        <v>0</v>
      </c>
      <c r="M37" s="234">
        <f>'3000'!Q89</f>
        <v>0</v>
      </c>
      <c r="N37" s="234">
        <f>'3000'!R89</f>
        <v>0</v>
      </c>
      <c r="O37" s="234">
        <f>'3000'!S89</f>
        <v>0</v>
      </c>
      <c r="P37" s="235">
        <f t="shared" si="4"/>
        <v>13348.33</v>
      </c>
      <c r="Q37" s="20"/>
      <c r="R37" s="22"/>
    </row>
    <row r="38" spans="1:18" s="4" customFormat="1" ht="13.8" x14ac:dyDescent="0.3">
      <c r="A38" s="48">
        <v>35701</v>
      </c>
      <c r="B38" s="4" t="s">
        <v>241</v>
      </c>
      <c r="C38" s="49">
        <f>'3000'!G95</f>
        <v>4300</v>
      </c>
      <c r="D38" s="234">
        <f>'3000'!H95</f>
        <v>0</v>
      </c>
      <c r="E38" s="234">
        <f>'3000'!I95</f>
        <v>0</v>
      </c>
      <c r="F38" s="234">
        <f>'3000'!J95</f>
        <v>0</v>
      </c>
      <c r="G38" s="234">
        <f>'3000'!K95</f>
        <v>0</v>
      </c>
      <c r="H38" s="234">
        <f>'3000'!L95</f>
        <v>4300</v>
      </c>
      <c r="I38" s="234">
        <f>'3000'!M95</f>
        <v>0</v>
      </c>
      <c r="J38" s="234">
        <f>'3000'!N95</f>
        <v>0</v>
      </c>
      <c r="K38" s="234">
        <f>'3000'!O95</f>
        <v>0</v>
      </c>
      <c r="L38" s="234">
        <f>'3000'!P95</f>
        <v>0</v>
      </c>
      <c r="M38" s="234">
        <f>'3000'!Q95</f>
        <v>0</v>
      </c>
      <c r="N38" s="234">
        <f>'3000'!R95</f>
        <v>0</v>
      </c>
      <c r="O38" s="234">
        <f>'3000'!S95</f>
        <v>0</v>
      </c>
      <c r="P38" s="235">
        <f t="shared" si="4"/>
        <v>4300</v>
      </c>
      <c r="Q38" s="20"/>
      <c r="R38" s="22"/>
    </row>
    <row r="39" spans="1:18" s="4" customFormat="1" ht="13.8" x14ac:dyDescent="0.3">
      <c r="A39" s="48">
        <v>35901</v>
      </c>
      <c r="B39" s="4" t="s">
        <v>243</v>
      </c>
      <c r="C39" s="49">
        <f>'3000'!G99</f>
        <v>9100</v>
      </c>
      <c r="D39" s="234">
        <f>'3000'!H99</f>
        <v>0</v>
      </c>
      <c r="E39" s="234">
        <f>'3000'!I99</f>
        <v>9100</v>
      </c>
      <c r="F39" s="234">
        <f>'3000'!J99</f>
        <v>0</v>
      </c>
      <c r="G39" s="234">
        <f>'3000'!K99</f>
        <v>0</v>
      </c>
      <c r="H39" s="234">
        <f>'3000'!L99</f>
        <v>0</v>
      </c>
      <c r="I39" s="234">
        <f>'3000'!M99</f>
        <v>0</v>
      </c>
      <c r="J39" s="234">
        <f>'3000'!N99</f>
        <v>0</v>
      </c>
      <c r="K39" s="234">
        <f>'3000'!O99</f>
        <v>0</v>
      </c>
      <c r="L39" s="234">
        <f>'3000'!P99</f>
        <v>0</v>
      </c>
      <c r="M39" s="234">
        <f>'3000'!Q99</f>
        <v>0</v>
      </c>
      <c r="N39" s="234">
        <f>'3000'!R99</f>
        <v>0</v>
      </c>
      <c r="O39" s="234">
        <f>'3000'!S99</f>
        <v>0</v>
      </c>
      <c r="P39" s="235">
        <f t="shared" si="4"/>
        <v>9100</v>
      </c>
      <c r="Q39" s="20"/>
      <c r="R39" s="22"/>
    </row>
    <row r="40" spans="1:18" s="4" customFormat="1" ht="13.8" x14ac:dyDescent="0.3">
      <c r="A40" s="48">
        <v>36101</v>
      </c>
      <c r="B40" s="4" t="s">
        <v>485</v>
      </c>
      <c r="C40" s="49">
        <f>'3000'!G103</f>
        <v>2500000</v>
      </c>
      <c r="D40" s="234">
        <f>'3000'!H103</f>
        <v>208333</v>
      </c>
      <c r="E40" s="234">
        <f>'3000'!I103</f>
        <v>208333</v>
      </c>
      <c r="F40" s="234">
        <f>'3000'!J103</f>
        <v>208333</v>
      </c>
      <c r="G40" s="234">
        <f>'3000'!K103</f>
        <v>208333</v>
      </c>
      <c r="H40" s="234">
        <f>'3000'!L103</f>
        <v>208333</v>
      </c>
      <c r="I40" s="234">
        <f>'3000'!M103</f>
        <v>208333</v>
      </c>
      <c r="J40" s="234">
        <f>'3000'!N103</f>
        <v>208333</v>
      </c>
      <c r="K40" s="234">
        <f>'3000'!O103</f>
        <v>208333</v>
      </c>
      <c r="L40" s="234">
        <f>'3000'!P103</f>
        <v>208333</v>
      </c>
      <c r="M40" s="234">
        <f>'3000'!Q103</f>
        <v>208333</v>
      </c>
      <c r="N40" s="234">
        <f>'3000'!R103</f>
        <v>208337</v>
      </c>
      <c r="O40" s="234">
        <f>'3000'!S103</f>
        <v>208333</v>
      </c>
      <c r="P40" s="235">
        <f t="shared" si="4"/>
        <v>2500000</v>
      </c>
      <c r="Q40" s="20"/>
      <c r="R40" s="22"/>
    </row>
    <row r="41" spans="1:18" s="4" customFormat="1" ht="13.8" x14ac:dyDescent="0.3">
      <c r="A41" s="48">
        <v>37101</v>
      </c>
      <c r="B41" s="4" t="s">
        <v>197</v>
      </c>
      <c r="C41" s="49">
        <f>'3000'!G107</f>
        <v>14000</v>
      </c>
      <c r="D41" s="234">
        <f>'3000'!H107</f>
        <v>0</v>
      </c>
      <c r="E41" s="234">
        <f>'3000'!I107</f>
        <v>0</v>
      </c>
      <c r="F41" s="234">
        <f>'3000'!J107</f>
        <v>7000</v>
      </c>
      <c r="G41" s="234">
        <f>'3000'!K107</f>
        <v>0</v>
      </c>
      <c r="H41" s="234">
        <f>'3000'!L107</f>
        <v>7000</v>
      </c>
      <c r="I41" s="234">
        <f>'3000'!M107</f>
        <v>0</v>
      </c>
      <c r="J41" s="234">
        <f>'3000'!N107</f>
        <v>0</v>
      </c>
      <c r="K41" s="234">
        <f>'3000'!O107</f>
        <v>0</v>
      </c>
      <c r="L41" s="234">
        <f>'3000'!P107</f>
        <v>0</v>
      </c>
      <c r="M41" s="234">
        <f>'3000'!Q107</f>
        <v>0</v>
      </c>
      <c r="N41" s="234">
        <f>'3000'!R107</f>
        <v>0</v>
      </c>
      <c r="O41" s="234">
        <f>'3000'!S107</f>
        <v>0</v>
      </c>
      <c r="P41" s="235">
        <f t="shared" si="4"/>
        <v>14000</v>
      </c>
      <c r="Q41" s="20"/>
      <c r="R41" s="22"/>
    </row>
    <row r="42" spans="1:18" s="4" customFormat="1" ht="13.8" x14ac:dyDescent="0.3">
      <c r="A42" s="48">
        <v>37201</v>
      </c>
      <c r="B42" s="4" t="s">
        <v>199</v>
      </c>
      <c r="C42" s="49">
        <f>'3000'!G113</f>
        <v>0</v>
      </c>
      <c r="D42" s="234">
        <f>'3000'!H113</f>
        <v>0</v>
      </c>
      <c r="E42" s="234">
        <f>'3000'!I113</f>
        <v>0</v>
      </c>
      <c r="F42" s="234">
        <f>'3000'!J113</f>
        <v>0</v>
      </c>
      <c r="G42" s="234">
        <f>'3000'!K113</f>
        <v>0</v>
      </c>
      <c r="H42" s="234">
        <f>'3000'!L113</f>
        <v>0</v>
      </c>
      <c r="I42" s="234">
        <f>'3000'!M113</f>
        <v>0</v>
      </c>
      <c r="J42" s="234">
        <f>'3000'!N113</f>
        <v>0</v>
      </c>
      <c r="K42" s="234">
        <f>'3000'!O113</f>
        <v>0</v>
      </c>
      <c r="L42" s="234">
        <f>'3000'!P113</f>
        <v>0</v>
      </c>
      <c r="M42" s="234">
        <f>'3000'!Q113</f>
        <v>0</v>
      </c>
      <c r="N42" s="234">
        <f>'3000'!R113</f>
        <v>0</v>
      </c>
      <c r="O42" s="234">
        <f>'3000'!S113</f>
        <v>0</v>
      </c>
      <c r="P42" s="235">
        <f t="shared" si="4"/>
        <v>0</v>
      </c>
      <c r="Q42" s="20"/>
      <c r="R42" s="22"/>
    </row>
    <row r="43" spans="1:18" s="4" customFormat="1" ht="13.8" x14ac:dyDescent="0.3">
      <c r="A43" s="48">
        <v>37501</v>
      </c>
      <c r="B43" s="4" t="s">
        <v>262</v>
      </c>
      <c r="C43" s="49">
        <f>'3000'!G117</f>
        <v>4000</v>
      </c>
      <c r="D43" s="234">
        <f>'3000'!H117</f>
        <v>0</v>
      </c>
      <c r="E43" s="234">
        <f>'3000'!I117</f>
        <v>0</v>
      </c>
      <c r="F43" s="234">
        <f>'3000'!J117</f>
        <v>2000</v>
      </c>
      <c r="G43" s="234">
        <f>'3000'!K117</f>
        <v>0</v>
      </c>
      <c r="H43" s="234">
        <f>'3000'!L117</f>
        <v>2000</v>
      </c>
      <c r="I43" s="234">
        <f>'3000'!M117</f>
        <v>0</v>
      </c>
      <c r="J43" s="234">
        <f>'3000'!N117</f>
        <v>0</v>
      </c>
      <c r="K43" s="234">
        <f>'3000'!O117</f>
        <v>0</v>
      </c>
      <c r="L43" s="234">
        <f>'3000'!P117</f>
        <v>0</v>
      </c>
      <c r="M43" s="234">
        <f>'3000'!Q117</f>
        <v>0</v>
      </c>
      <c r="N43" s="234">
        <f>'3000'!R117</f>
        <v>0</v>
      </c>
      <c r="O43" s="234">
        <f>'3000'!S117</f>
        <v>0</v>
      </c>
      <c r="P43" s="235">
        <f t="shared" si="4"/>
        <v>4000</v>
      </c>
      <c r="Q43" s="20"/>
      <c r="R43" s="22"/>
    </row>
    <row r="44" spans="1:18" s="4" customFormat="1" ht="13.8" x14ac:dyDescent="0.3">
      <c r="A44" s="48">
        <v>37502</v>
      </c>
      <c r="B44" s="4" t="s">
        <v>203</v>
      </c>
      <c r="C44" s="49">
        <f>'3000'!G121</f>
        <v>0</v>
      </c>
      <c r="D44" s="234">
        <f>'3000'!H121</f>
        <v>0</v>
      </c>
      <c r="E44" s="234">
        <f>'3000'!I121</f>
        <v>0</v>
      </c>
      <c r="F44" s="234">
        <f>'3000'!J121</f>
        <v>0</v>
      </c>
      <c r="G44" s="234">
        <f>'3000'!K121</f>
        <v>0</v>
      </c>
      <c r="H44" s="234">
        <f>'3000'!L121</f>
        <v>0</v>
      </c>
      <c r="I44" s="234">
        <f>'3000'!M121</f>
        <v>0</v>
      </c>
      <c r="J44" s="234">
        <f>'3000'!N121</f>
        <v>0</v>
      </c>
      <c r="K44" s="234">
        <f>'3000'!O121</f>
        <v>0</v>
      </c>
      <c r="L44" s="234">
        <f>'3000'!P121</f>
        <v>0</v>
      </c>
      <c r="M44" s="234">
        <f>'3000'!Q121</f>
        <v>0</v>
      </c>
      <c r="N44" s="234">
        <f>'3000'!R121</f>
        <v>0</v>
      </c>
      <c r="O44" s="234">
        <f>'3000'!S121</f>
        <v>0</v>
      </c>
      <c r="P44" s="235">
        <f t="shared" si="4"/>
        <v>0</v>
      </c>
      <c r="Q44" s="20"/>
      <c r="R44" s="22"/>
    </row>
    <row r="45" spans="1:18" s="4" customFormat="1" ht="13.8" x14ac:dyDescent="0.3">
      <c r="A45" s="48">
        <v>37601</v>
      </c>
      <c r="B45" s="4" t="s">
        <v>263</v>
      </c>
      <c r="C45" s="49">
        <f>'3000'!G125</f>
        <v>0</v>
      </c>
      <c r="D45" s="234">
        <f>'3000'!H125</f>
        <v>0</v>
      </c>
      <c r="E45" s="234">
        <f>'3000'!I125</f>
        <v>0</v>
      </c>
      <c r="F45" s="234">
        <f>'3000'!J125</f>
        <v>0</v>
      </c>
      <c r="G45" s="234">
        <f>'3000'!K125</f>
        <v>0</v>
      </c>
      <c r="H45" s="234">
        <f>'3000'!L125</f>
        <v>0</v>
      </c>
      <c r="I45" s="234">
        <f>'3000'!M125</f>
        <v>0</v>
      </c>
      <c r="J45" s="234">
        <f>'3000'!N125</f>
        <v>0</v>
      </c>
      <c r="K45" s="234">
        <f>'3000'!O125</f>
        <v>0</v>
      </c>
      <c r="L45" s="234">
        <f>'3000'!P125</f>
        <v>0</v>
      </c>
      <c r="M45" s="234">
        <f>'3000'!Q125</f>
        <v>0</v>
      </c>
      <c r="N45" s="234">
        <f>'3000'!R125</f>
        <v>0</v>
      </c>
      <c r="O45" s="234">
        <f>'3000'!S125</f>
        <v>0</v>
      </c>
      <c r="P45" s="235">
        <f t="shared" si="4"/>
        <v>0</v>
      </c>
      <c r="Q45" s="20"/>
      <c r="R45" s="22"/>
    </row>
    <row r="46" spans="1:18" s="4" customFormat="1" ht="13.8" x14ac:dyDescent="0.3">
      <c r="A46" s="48">
        <v>37901</v>
      </c>
      <c r="B46" s="4" t="s">
        <v>143</v>
      </c>
      <c r="C46" s="49">
        <f>'3000'!G130</f>
        <v>102000</v>
      </c>
      <c r="D46" s="234">
        <f>'3000'!H130</f>
        <v>100000</v>
      </c>
      <c r="E46" s="234">
        <f>'3000'!I130</f>
        <v>1000</v>
      </c>
      <c r="F46" s="234">
        <f>'3000'!J130</f>
        <v>0</v>
      </c>
      <c r="G46" s="234">
        <f>'3000'!K130</f>
        <v>1000</v>
      </c>
      <c r="H46" s="234">
        <f>'3000'!L130</f>
        <v>0</v>
      </c>
      <c r="I46" s="234">
        <f>'3000'!M130</f>
        <v>0</v>
      </c>
      <c r="J46" s="234">
        <f>'3000'!N130</f>
        <v>0</v>
      </c>
      <c r="K46" s="234">
        <f>'3000'!O130</f>
        <v>0</v>
      </c>
      <c r="L46" s="234">
        <f>'3000'!P130</f>
        <v>0</v>
      </c>
      <c r="M46" s="234">
        <f>'3000'!Q130</f>
        <v>0</v>
      </c>
      <c r="N46" s="234">
        <f>'3000'!R130</f>
        <v>0</v>
      </c>
      <c r="O46" s="234">
        <f>'3000'!S130</f>
        <v>0</v>
      </c>
      <c r="P46" s="235">
        <f t="shared" si="4"/>
        <v>102000</v>
      </c>
      <c r="Q46" s="20"/>
      <c r="R46" s="22"/>
    </row>
    <row r="47" spans="1:18" s="4" customFormat="1" ht="13.8" x14ac:dyDescent="0.3">
      <c r="A47" s="48">
        <v>38101</v>
      </c>
      <c r="B47" s="4" t="s">
        <v>245</v>
      </c>
      <c r="C47" s="49">
        <f>'3000'!G136</f>
        <v>8000</v>
      </c>
      <c r="D47" s="234">
        <f>'3000'!H136</f>
        <v>4000</v>
      </c>
      <c r="E47" s="234">
        <f>'3000'!I136</f>
        <v>0</v>
      </c>
      <c r="F47" s="234">
        <f>'3000'!J136</f>
        <v>2000</v>
      </c>
      <c r="G47" s="234">
        <f>'3000'!K136</f>
        <v>0</v>
      </c>
      <c r="H47" s="234">
        <f>'3000'!L136</f>
        <v>0</v>
      </c>
      <c r="I47" s="234">
        <f>'3000'!M136</f>
        <v>2000</v>
      </c>
      <c r="J47" s="234">
        <f>'3000'!N136</f>
        <v>0</v>
      </c>
      <c r="K47" s="234">
        <f>'3000'!O136</f>
        <v>0</v>
      </c>
      <c r="L47" s="234">
        <f>'3000'!P136</f>
        <v>0</v>
      </c>
      <c r="M47" s="234">
        <f>'3000'!Q136</f>
        <v>0</v>
      </c>
      <c r="N47" s="234">
        <f>'3000'!R136</f>
        <v>0</v>
      </c>
      <c r="O47" s="234">
        <f>'3000'!S136</f>
        <v>0</v>
      </c>
      <c r="P47" s="235">
        <f t="shared" si="4"/>
        <v>8000</v>
      </c>
      <c r="Q47" s="20"/>
      <c r="R47" s="22"/>
    </row>
    <row r="48" spans="1:18" s="4" customFormat="1" ht="13.8" x14ac:dyDescent="0.3">
      <c r="A48" s="48">
        <v>38301</v>
      </c>
      <c r="B48" s="4" t="s">
        <v>211</v>
      </c>
      <c r="C48" s="49">
        <f>'3000'!G141</f>
        <v>0</v>
      </c>
      <c r="D48" s="234">
        <f>'3000'!H141</f>
        <v>0</v>
      </c>
      <c r="E48" s="234">
        <f>'3000'!I141</f>
        <v>0</v>
      </c>
      <c r="F48" s="234">
        <f>'3000'!J141</f>
        <v>0</v>
      </c>
      <c r="G48" s="234">
        <f>'3000'!K141</f>
        <v>0</v>
      </c>
      <c r="H48" s="234">
        <f>'3000'!L141</f>
        <v>0</v>
      </c>
      <c r="I48" s="234">
        <f>'3000'!M141</f>
        <v>0</v>
      </c>
      <c r="J48" s="234">
        <f>'3000'!N141</f>
        <v>0</v>
      </c>
      <c r="K48" s="234">
        <f>'3000'!O141</f>
        <v>0</v>
      </c>
      <c r="L48" s="234">
        <f>'3000'!P141</f>
        <v>0</v>
      </c>
      <c r="M48" s="234">
        <f>'3000'!Q141</f>
        <v>0</v>
      </c>
      <c r="N48" s="234">
        <f>'3000'!R141</f>
        <v>0</v>
      </c>
      <c r="O48" s="234">
        <f>'3000'!S141</f>
        <v>0</v>
      </c>
      <c r="P48" s="235">
        <f>SUM(D48:O48)</f>
        <v>0</v>
      </c>
      <c r="Q48" s="20"/>
      <c r="R48" s="22"/>
    </row>
    <row r="49" spans="1:18" s="4" customFormat="1" ht="13.8" x14ac:dyDescent="0.3">
      <c r="A49" s="48">
        <v>38401</v>
      </c>
      <c r="B49" s="4" t="s">
        <v>208</v>
      </c>
      <c r="C49" s="49">
        <f>'3000'!G145</f>
        <v>0</v>
      </c>
      <c r="D49" s="234">
        <f>'3000'!H145</f>
        <v>0</v>
      </c>
      <c r="E49" s="234">
        <f>'3000'!I145</f>
        <v>0</v>
      </c>
      <c r="F49" s="234">
        <f>'3000'!J145</f>
        <v>0</v>
      </c>
      <c r="G49" s="234">
        <f>'3000'!K145</f>
        <v>0</v>
      </c>
      <c r="H49" s="234">
        <f>'3000'!L145</f>
        <v>0</v>
      </c>
      <c r="I49" s="234">
        <f>'3000'!M145</f>
        <v>0</v>
      </c>
      <c r="J49" s="234">
        <f>'3000'!N145</f>
        <v>0</v>
      </c>
      <c r="K49" s="234">
        <f>'3000'!O145</f>
        <v>0</v>
      </c>
      <c r="L49" s="234">
        <f>'3000'!P145</f>
        <v>0</v>
      </c>
      <c r="M49" s="234">
        <f>'3000'!Q145</f>
        <v>0</v>
      </c>
      <c r="N49" s="234">
        <f>'3000'!R145</f>
        <v>0</v>
      </c>
      <c r="O49" s="234">
        <f>'3000'!S145</f>
        <v>0</v>
      </c>
      <c r="P49" s="235">
        <f t="shared" si="4"/>
        <v>0</v>
      </c>
      <c r="Q49" s="20"/>
      <c r="R49" s="22"/>
    </row>
    <row r="50" spans="1:18" s="4" customFormat="1" ht="13.8" x14ac:dyDescent="0.3">
      <c r="A50" s="48">
        <v>39201</v>
      </c>
      <c r="B50" s="4" t="s">
        <v>10</v>
      </c>
      <c r="C50" s="49">
        <f>'3000'!G149</f>
        <v>2500</v>
      </c>
      <c r="D50" s="234">
        <f>'3000'!H149</f>
        <v>2500</v>
      </c>
      <c r="E50" s="234">
        <f>'3000'!I149</f>
        <v>0</v>
      </c>
      <c r="F50" s="234">
        <f>'3000'!J149</f>
        <v>0</v>
      </c>
      <c r="G50" s="234">
        <f>'3000'!K149</f>
        <v>0</v>
      </c>
      <c r="H50" s="234">
        <f>'3000'!L149</f>
        <v>0</v>
      </c>
      <c r="I50" s="234">
        <f>'3000'!M149</f>
        <v>0</v>
      </c>
      <c r="J50" s="234">
        <f>'3000'!N149</f>
        <v>0</v>
      </c>
      <c r="K50" s="234">
        <f>'3000'!O149</f>
        <v>0</v>
      </c>
      <c r="L50" s="234">
        <f>'3000'!P149</f>
        <v>0</v>
      </c>
      <c r="M50" s="234">
        <f>'3000'!Q149</f>
        <v>0</v>
      </c>
      <c r="N50" s="234">
        <f>'3000'!R149</f>
        <v>0</v>
      </c>
      <c r="O50" s="234">
        <f>'3000'!S149</f>
        <v>0</v>
      </c>
      <c r="P50" s="235">
        <f t="shared" si="4"/>
        <v>2500</v>
      </c>
      <c r="Q50" s="20"/>
      <c r="R50" s="22"/>
    </row>
    <row r="51" spans="1:18" s="4" customFormat="1" ht="13.8" x14ac:dyDescent="0.3">
      <c r="A51" s="48">
        <v>39501</v>
      </c>
      <c r="B51" s="4" t="s">
        <v>259</v>
      </c>
      <c r="C51" s="49">
        <f>'3000'!G152</f>
        <v>0</v>
      </c>
      <c r="D51" s="234">
        <f>'3000'!H152</f>
        <v>0</v>
      </c>
      <c r="E51" s="234">
        <f>'3000'!I152</f>
        <v>0</v>
      </c>
      <c r="F51" s="234">
        <f>'3000'!J152</f>
        <v>0</v>
      </c>
      <c r="G51" s="234">
        <f>'3000'!K152</f>
        <v>0</v>
      </c>
      <c r="H51" s="234">
        <f>'3000'!L152</f>
        <v>0</v>
      </c>
      <c r="I51" s="234">
        <f>'3000'!M152</f>
        <v>0</v>
      </c>
      <c r="J51" s="234">
        <f>'3000'!N152</f>
        <v>0</v>
      </c>
      <c r="K51" s="234">
        <f>'3000'!O152</f>
        <v>0</v>
      </c>
      <c r="L51" s="234">
        <f>'3000'!P152</f>
        <v>0</v>
      </c>
      <c r="M51" s="234">
        <f>'3000'!Q152</f>
        <v>0</v>
      </c>
      <c r="N51" s="234">
        <f>'3000'!R152</f>
        <v>0</v>
      </c>
      <c r="O51" s="234">
        <f>'3000'!S152</f>
        <v>0</v>
      </c>
      <c r="P51" s="235">
        <f t="shared" si="4"/>
        <v>0</v>
      </c>
      <c r="Q51" s="20"/>
      <c r="R51" s="22"/>
    </row>
    <row r="52" spans="1:18" s="4" customFormat="1" ht="14.4" thickBot="1" x14ac:dyDescent="0.35">
      <c r="A52" s="48">
        <v>39801</v>
      </c>
      <c r="B52" s="4" t="s">
        <v>490</v>
      </c>
      <c r="C52" s="49">
        <f>'3000'!G156</f>
        <v>154190.00399999999</v>
      </c>
      <c r="D52" s="234">
        <f>'3000'!H156</f>
        <v>12849.166999999999</v>
      </c>
      <c r="E52" s="234">
        <f>'3000'!I156</f>
        <v>12849.166999999999</v>
      </c>
      <c r="F52" s="234">
        <f>'3000'!J156</f>
        <v>12849.166999999999</v>
      </c>
      <c r="G52" s="234">
        <f>'3000'!K156</f>
        <v>12849.166999999999</v>
      </c>
      <c r="H52" s="234">
        <f>'3000'!L156</f>
        <v>12849.166999999999</v>
      </c>
      <c r="I52" s="234">
        <f>'3000'!M156</f>
        <v>12849.166999999999</v>
      </c>
      <c r="J52" s="234">
        <f>'3000'!N156</f>
        <v>12849.166999999999</v>
      </c>
      <c r="K52" s="234">
        <f>'3000'!O156</f>
        <v>12849.166999999999</v>
      </c>
      <c r="L52" s="234">
        <f>'3000'!P156</f>
        <v>12849.166999999999</v>
      </c>
      <c r="M52" s="234">
        <f>'3000'!Q156</f>
        <v>12849.166999999999</v>
      </c>
      <c r="N52" s="234">
        <f>'3000'!R156</f>
        <v>12849.166999999999</v>
      </c>
      <c r="O52" s="234">
        <f>'3000'!S156</f>
        <v>12849.166999999999</v>
      </c>
      <c r="P52" s="235">
        <f t="shared" si="4"/>
        <v>154190.00399999999</v>
      </c>
      <c r="Q52" s="20"/>
      <c r="R52" s="22"/>
    </row>
    <row r="53" spans="1:18" s="10" customFormat="1" ht="16.2" thickBot="1" x14ac:dyDescent="0.35">
      <c r="A53" s="92"/>
      <c r="B53" s="229" t="s">
        <v>0</v>
      </c>
      <c r="C53" s="94">
        <f t="shared" ref="C53:O53" si="5">SUM(C21:C52)</f>
        <v>4410349.5839999998</v>
      </c>
      <c r="D53" s="94">
        <f t="shared" si="5"/>
        <v>499274.66700000002</v>
      </c>
      <c r="E53" s="94">
        <f t="shared" si="5"/>
        <v>377197.83200000005</v>
      </c>
      <c r="F53" s="94">
        <f t="shared" si="5"/>
        <v>348623.66700000002</v>
      </c>
      <c r="G53" s="94">
        <f t="shared" si="5"/>
        <v>330923.66700000002</v>
      </c>
      <c r="H53" s="94">
        <f t="shared" si="5"/>
        <v>350523.66700000002</v>
      </c>
      <c r="I53" s="94">
        <f t="shared" si="5"/>
        <v>353673.66700000002</v>
      </c>
      <c r="J53" s="94">
        <f t="shared" si="5"/>
        <v>377168.58200000005</v>
      </c>
      <c r="K53" s="94">
        <f t="shared" si="5"/>
        <v>329223.66700000002</v>
      </c>
      <c r="L53" s="94">
        <f t="shared" si="5"/>
        <v>359673.66700000002</v>
      </c>
      <c r="M53" s="94">
        <f t="shared" si="5"/>
        <v>329623.66700000002</v>
      </c>
      <c r="N53" s="94">
        <f t="shared" si="5"/>
        <v>360077.66700000002</v>
      </c>
      <c r="O53" s="94">
        <f t="shared" si="5"/>
        <v>394365.16700000002</v>
      </c>
      <c r="P53" s="236">
        <f>SUM(P21:P52)</f>
        <v>4410349.5839999998</v>
      </c>
      <c r="Q53" s="19"/>
      <c r="R53" s="22"/>
    </row>
    <row r="54" spans="1:18" ht="14.4" thickBot="1" x14ac:dyDescent="0.35">
      <c r="C54" s="5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2"/>
      <c r="Q54" s="20"/>
      <c r="R54" s="3"/>
    </row>
    <row r="55" spans="1:18" s="10" customFormat="1" ht="16.2" thickBot="1" x14ac:dyDescent="0.35">
      <c r="A55" s="271" t="s">
        <v>13</v>
      </c>
      <c r="B55" s="272"/>
      <c r="C55" s="223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5"/>
      <c r="P55" s="226"/>
      <c r="Q55" s="20"/>
      <c r="R55" s="17"/>
    </row>
    <row r="56" spans="1:18" s="4" customFormat="1" ht="13.8" x14ac:dyDescent="0.3">
      <c r="A56" s="48">
        <v>51101</v>
      </c>
      <c r="B56" s="4" t="s">
        <v>247</v>
      </c>
      <c r="C56" s="49">
        <f>'5000'!G8</f>
        <v>0</v>
      </c>
      <c r="D56" s="234">
        <f>'5000'!H8</f>
        <v>0</v>
      </c>
      <c r="E56" s="234">
        <f>'5000'!I8</f>
        <v>0</v>
      </c>
      <c r="F56" s="234">
        <f>'5000'!J8</f>
        <v>0</v>
      </c>
      <c r="G56" s="234">
        <f>'5000'!K8</f>
        <v>0</v>
      </c>
      <c r="H56" s="234">
        <f>'5000'!L8</f>
        <v>0</v>
      </c>
      <c r="I56" s="234">
        <f>'5000'!M8</f>
        <v>0</v>
      </c>
      <c r="J56" s="234">
        <f>'5000'!N8</f>
        <v>0</v>
      </c>
      <c r="K56" s="234">
        <f>'5000'!O8</f>
        <v>0</v>
      </c>
      <c r="L56" s="234">
        <f>'5000'!P8</f>
        <v>0</v>
      </c>
      <c r="M56" s="234">
        <f>'5000'!Q8</f>
        <v>0</v>
      </c>
      <c r="N56" s="234">
        <f>'5000'!R8</f>
        <v>0</v>
      </c>
      <c r="O56" s="237">
        <f>'5000'!S8</f>
        <v>0</v>
      </c>
      <c r="P56" s="235">
        <f t="shared" ref="P56:P62" si="6">SUM(D56:O56)</f>
        <v>0</v>
      </c>
      <c r="Q56" s="20"/>
      <c r="R56" s="7"/>
    </row>
    <row r="57" spans="1:18" s="4" customFormat="1" ht="13.8" x14ac:dyDescent="0.3">
      <c r="A57" s="48">
        <v>51501</v>
      </c>
      <c r="B57" s="4" t="s">
        <v>249</v>
      </c>
      <c r="C57" s="49">
        <v>720</v>
      </c>
      <c r="D57" s="234">
        <f>'5000'!H26</f>
        <v>240</v>
      </c>
      <c r="E57" s="234">
        <f>'5000'!I26</f>
        <v>240</v>
      </c>
      <c r="F57" s="234">
        <f>'5000'!J26</f>
        <v>240</v>
      </c>
      <c r="G57" s="234">
        <f>'5000'!K26</f>
        <v>0</v>
      </c>
      <c r="H57" s="234">
        <f>'5000'!L26</f>
        <v>0</v>
      </c>
      <c r="I57" s="234">
        <f>'5000'!M26</f>
        <v>0</v>
      </c>
      <c r="J57" s="234">
        <f>'5000'!N26</f>
        <v>0</v>
      </c>
      <c r="K57" s="234">
        <f>'5000'!O26</f>
        <v>0</v>
      </c>
      <c r="L57" s="234">
        <f>'5000'!P26</f>
        <v>0</v>
      </c>
      <c r="M57" s="234">
        <f>'5000'!Q26</f>
        <v>0</v>
      </c>
      <c r="N57" s="234">
        <f>'5000'!R26</f>
        <v>0</v>
      </c>
      <c r="O57" s="234">
        <f>'5000'!S26</f>
        <v>0</v>
      </c>
      <c r="P57" s="235">
        <v>720</v>
      </c>
      <c r="Q57" s="20"/>
      <c r="R57" s="7"/>
    </row>
    <row r="58" spans="1:18" s="4" customFormat="1" ht="13.8" x14ac:dyDescent="0.3">
      <c r="A58" s="48">
        <v>52901</v>
      </c>
      <c r="B58" s="4" t="s">
        <v>251</v>
      </c>
      <c r="C58" s="49">
        <f>'5000'!G33</f>
        <v>0</v>
      </c>
      <c r="D58" s="234">
        <f>'5000'!H33</f>
        <v>0</v>
      </c>
      <c r="E58" s="234">
        <f>'5000'!I33</f>
        <v>0</v>
      </c>
      <c r="F58" s="234">
        <f>'5000'!J33</f>
        <v>0</v>
      </c>
      <c r="G58" s="234">
        <f>'5000'!K33</f>
        <v>0</v>
      </c>
      <c r="H58" s="234">
        <f>'5000'!L33</f>
        <v>0</v>
      </c>
      <c r="I58" s="234">
        <f>'5000'!M33</f>
        <v>0</v>
      </c>
      <c r="J58" s="234">
        <f>'5000'!N33</f>
        <v>0</v>
      </c>
      <c r="K58" s="234">
        <f>'5000'!O33</f>
        <v>0</v>
      </c>
      <c r="L58" s="234">
        <f>'5000'!P33</f>
        <v>0</v>
      </c>
      <c r="M58" s="234">
        <f>'5000'!Q33</f>
        <v>0</v>
      </c>
      <c r="N58" s="234">
        <f>'5000'!R33</f>
        <v>0</v>
      </c>
      <c r="O58" s="234">
        <f>'5000'!S33</f>
        <v>0</v>
      </c>
      <c r="P58" s="235">
        <f t="shared" si="6"/>
        <v>0</v>
      </c>
      <c r="Q58" s="20"/>
      <c r="R58" s="7"/>
    </row>
    <row r="59" spans="1:18" s="4" customFormat="1" ht="13.8" x14ac:dyDescent="0.3">
      <c r="A59" s="48">
        <v>54101</v>
      </c>
      <c r="B59" s="4" t="s">
        <v>264</v>
      </c>
      <c r="C59" s="49">
        <f>'5000'!G38</f>
        <v>1360.42</v>
      </c>
      <c r="D59" s="234">
        <f>'5000'!H38</f>
        <v>1360.42</v>
      </c>
      <c r="E59" s="234">
        <f>'5000'!I38</f>
        <v>0</v>
      </c>
      <c r="F59" s="234">
        <f>'5000'!J38</f>
        <v>0</v>
      </c>
      <c r="G59" s="234">
        <f>'5000'!K38</f>
        <v>0</v>
      </c>
      <c r="H59" s="234">
        <f>'5000'!L38</f>
        <v>0</v>
      </c>
      <c r="I59" s="234">
        <f>'5000'!M38</f>
        <v>0</v>
      </c>
      <c r="J59" s="234">
        <f>'5000'!N38</f>
        <v>0</v>
      </c>
      <c r="K59" s="234">
        <f>'5000'!O38</f>
        <v>0</v>
      </c>
      <c r="L59" s="234">
        <f>'5000'!P38</f>
        <v>0</v>
      </c>
      <c r="M59" s="234">
        <f>'5000'!Q38</f>
        <v>0</v>
      </c>
      <c r="N59" s="234">
        <f>'5000'!R38</f>
        <v>0</v>
      </c>
      <c r="O59" s="234">
        <f>'5000'!S38</f>
        <v>0</v>
      </c>
      <c r="P59" s="235">
        <f t="shared" si="6"/>
        <v>1360.42</v>
      </c>
      <c r="Q59" s="20"/>
      <c r="R59" s="7"/>
    </row>
    <row r="60" spans="1:18" s="4" customFormat="1" ht="13.8" x14ac:dyDescent="0.3">
      <c r="A60" s="48">
        <v>56201</v>
      </c>
      <c r="B60" s="4" t="s">
        <v>75</v>
      </c>
      <c r="C60" s="49">
        <f>'5000'!G45</f>
        <v>0</v>
      </c>
      <c r="D60" s="234">
        <f>'5000'!H45</f>
        <v>0</v>
      </c>
      <c r="E60" s="234">
        <f>'5000'!I45</f>
        <v>0</v>
      </c>
      <c r="F60" s="234">
        <f>'5000'!J45</f>
        <v>0</v>
      </c>
      <c r="G60" s="234">
        <f>'5000'!K45</f>
        <v>0</v>
      </c>
      <c r="H60" s="234">
        <f>'5000'!L45</f>
        <v>0</v>
      </c>
      <c r="I60" s="234">
        <f>'5000'!M45</f>
        <v>0</v>
      </c>
      <c r="J60" s="234">
        <f>'5000'!N45</f>
        <v>0</v>
      </c>
      <c r="K60" s="234">
        <f>'5000'!O45</f>
        <v>0</v>
      </c>
      <c r="L60" s="234">
        <f>'5000'!P45</f>
        <v>0</v>
      </c>
      <c r="M60" s="234">
        <f>'5000'!Q45</f>
        <v>0</v>
      </c>
      <c r="N60" s="234">
        <f>'5000'!R45</f>
        <v>0</v>
      </c>
      <c r="O60" s="237">
        <f>'5000'!S45</f>
        <v>0</v>
      </c>
      <c r="P60" s="235">
        <f t="shared" si="6"/>
        <v>0</v>
      </c>
      <c r="Q60" s="20"/>
      <c r="R60" s="7"/>
    </row>
    <row r="61" spans="1:18" s="4" customFormat="1" ht="13.8" x14ac:dyDescent="0.3">
      <c r="A61" s="48">
        <v>56501</v>
      </c>
      <c r="B61" s="4" t="s">
        <v>255</v>
      </c>
      <c r="C61" s="49">
        <f>'5000'!G51</f>
        <v>1200</v>
      </c>
      <c r="D61" s="234">
        <f>'5000'!H51</f>
        <v>1200</v>
      </c>
      <c r="E61" s="234">
        <f>'5000'!I51</f>
        <v>0</v>
      </c>
      <c r="F61" s="234">
        <f>'5000'!J51</f>
        <v>0</v>
      </c>
      <c r="G61" s="234">
        <f>'5000'!K51</f>
        <v>0</v>
      </c>
      <c r="H61" s="234">
        <f>'5000'!L51</f>
        <v>0</v>
      </c>
      <c r="I61" s="234">
        <f>'5000'!M51</f>
        <v>0</v>
      </c>
      <c r="J61" s="234">
        <f>'5000'!N51</f>
        <v>0</v>
      </c>
      <c r="K61" s="234">
        <f>'5000'!O51</f>
        <v>0</v>
      </c>
      <c r="L61" s="234">
        <f>'5000'!P51</f>
        <v>0</v>
      </c>
      <c r="M61" s="234">
        <f>'5000'!Q51</f>
        <v>0</v>
      </c>
      <c r="N61" s="234">
        <f>'5000'!R51</f>
        <v>0</v>
      </c>
      <c r="O61" s="237">
        <f>'5000'!S51</f>
        <v>0</v>
      </c>
      <c r="P61" s="235">
        <f t="shared" si="6"/>
        <v>1200</v>
      </c>
      <c r="Q61" s="20"/>
      <c r="R61" s="7"/>
    </row>
    <row r="62" spans="1:18" s="4" customFormat="1" ht="14.4" thickBot="1" x14ac:dyDescent="0.35">
      <c r="A62" s="48">
        <v>59101</v>
      </c>
      <c r="B62" s="4" t="s">
        <v>67</v>
      </c>
      <c r="C62" s="49">
        <f>'5000'!G57</f>
        <v>0</v>
      </c>
      <c r="D62" s="234">
        <f>'5000'!H57</f>
        <v>0</v>
      </c>
      <c r="E62" s="234">
        <f>'5000'!I57</f>
        <v>0</v>
      </c>
      <c r="F62" s="234">
        <f>'5000'!J57</f>
        <v>0</v>
      </c>
      <c r="G62" s="234">
        <f>'5000'!K57</f>
        <v>0</v>
      </c>
      <c r="H62" s="234">
        <f>'5000'!L57</f>
        <v>0</v>
      </c>
      <c r="I62" s="234">
        <f>'5000'!M57</f>
        <v>0</v>
      </c>
      <c r="J62" s="234">
        <f>'5000'!N57</f>
        <v>0</v>
      </c>
      <c r="K62" s="234">
        <f>'5000'!O57</f>
        <v>0</v>
      </c>
      <c r="L62" s="234">
        <f>'5000'!P57</f>
        <v>0</v>
      </c>
      <c r="M62" s="234">
        <f>'5000'!Q57</f>
        <v>0</v>
      </c>
      <c r="N62" s="234">
        <f>'5000'!R57</f>
        <v>0</v>
      </c>
      <c r="O62" s="237">
        <f>'5000'!S57</f>
        <v>0</v>
      </c>
      <c r="P62" s="235">
        <f t="shared" si="6"/>
        <v>0</v>
      </c>
      <c r="Q62" s="19"/>
      <c r="R62" s="7"/>
    </row>
    <row r="63" spans="1:18" s="10" customFormat="1" ht="16.2" thickBot="1" x14ac:dyDescent="0.35">
      <c r="A63" s="92"/>
      <c r="B63" s="229" t="s">
        <v>0</v>
      </c>
      <c r="C63" s="94">
        <f t="shared" ref="C63:P63" si="7">SUM(C56:C62)</f>
        <v>3280.42</v>
      </c>
      <c r="D63" s="94">
        <f t="shared" si="7"/>
        <v>2800.42</v>
      </c>
      <c r="E63" s="94">
        <f t="shared" si="7"/>
        <v>240</v>
      </c>
      <c r="F63" s="94">
        <f t="shared" si="7"/>
        <v>240</v>
      </c>
      <c r="G63" s="94">
        <f t="shared" si="7"/>
        <v>0</v>
      </c>
      <c r="H63" s="94">
        <f t="shared" si="7"/>
        <v>0</v>
      </c>
      <c r="I63" s="94">
        <f t="shared" si="7"/>
        <v>0</v>
      </c>
      <c r="J63" s="94">
        <f t="shared" si="7"/>
        <v>0</v>
      </c>
      <c r="K63" s="94">
        <f t="shared" si="7"/>
        <v>0</v>
      </c>
      <c r="L63" s="94">
        <f t="shared" si="7"/>
        <v>0</v>
      </c>
      <c r="M63" s="94">
        <f t="shared" si="7"/>
        <v>0</v>
      </c>
      <c r="N63" s="94">
        <f t="shared" si="7"/>
        <v>0</v>
      </c>
      <c r="O63" s="94">
        <f t="shared" si="7"/>
        <v>0</v>
      </c>
      <c r="P63" s="94">
        <f t="shared" si="7"/>
        <v>3280.42</v>
      </c>
      <c r="Q63" s="19"/>
      <c r="R63" s="17"/>
    </row>
    <row r="64" spans="1:18" ht="14.4" thickBot="1" x14ac:dyDescent="0.35">
      <c r="C64" s="5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2"/>
      <c r="Q64" s="20"/>
      <c r="R64" s="3"/>
    </row>
    <row r="65" spans="1:18" s="10" customFormat="1" ht="16.2" thickBot="1" x14ac:dyDescent="0.35">
      <c r="A65" s="271" t="s">
        <v>15</v>
      </c>
      <c r="B65" s="272"/>
      <c r="C65" s="223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5"/>
      <c r="P65" s="226"/>
      <c r="Q65" s="20"/>
      <c r="R65" s="17"/>
    </row>
    <row r="66" spans="1:18" s="4" customFormat="1" ht="14.4" thickBot="1" x14ac:dyDescent="0.35">
      <c r="A66" s="48">
        <v>61406</v>
      </c>
      <c r="B66" s="4" t="s">
        <v>16</v>
      </c>
      <c r="C66" s="49">
        <f>'6000'!E39</f>
        <v>4000000</v>
      </c>
      <c r="D66" s="227">
        <f>'6000'!F39</f>
        <v>0</v>
      </c>
      <c r="E66" s="227">
        <f>'6000'!G39</f>
        <v>1200000</v>
      </c>
      <c r="F66" s="227">
        <f>'6000'!H39</f>
        <v>1200000</v>
      </c>
      <c r="G66" s="227">
        <f>'6000'!I39</f>
        <v>1600000</v>
      </c>
      <c r="H66" s="227">
        <f>'6000'!J39</f>
        <v>0</v>
      </c>
      <c r="I66" s="227">
        <f>'6000'!K39</f>
        <v>0</v>
      </c>
      <c r="J66" s="227">
        <f>'6000'!L39</f>
        <v>0</v>
      </c>
      <c r="K66" s="227">
        <f>'6000'!M39</f>
        <v>0</v>
      </c>
      <c r="L66" s="227">
        <f>'6000'!N39</f>
        <v>0</v>
      </c>
      <c r="M66" s="227">
        <f>'6000'!O39</f>
        <v>0</v>
      </c>
      <c r="N66" s="227">
        <f>'6000'!P39</f>
        <v>0</v>
      </c>
      <c r="O66" s="227">
        <f>'6000'!Q39</f>
        <v>0</v>
      </c>
      <c r="P66" s="228">
        <f>SUM(D66:O66)</f>
        <v>4000000</v>
      </c>
      <c r="Q66" s="19"/>
      <c r="R66" s="7"/>
    </row>
    <row r="67" spans="1:18" s="10" customFormat="1" ht="16.2" thickBot="1" x14ac:dyDescent="0.35">
      <c r="A67" s="92"/>
      <c r="B67" s="229" t="s">
        <v>0</v>
      </c>
      <c r="C67" s="94">
        <f t="shared" ref="C67:P67" si="8">SUM(C66)</f>
        <v>4000000</v>
      </c>
      <c r="D67" s="94">
        <f t="shared" si="8"/>
        <v>0</v>
      </c>
      <c r="E67" s="94">
        <f t="shared" si="8"/>
        <v>1200000</v>
      </c>
      <c r="F67" s="94">
        <f t="shared" si="8"/>
        <v>1200000</v>
      </c>
      <c r="G67" s="94">
        <f t="shared" si="8"/>
        <v>1600000</v>
      </c>
      <c r="H67" s="94">
        <f t="shared" si="8"/>
        <v>0</v>
      </c>
      <c r="I67" s="94">
        <f t="shared" si="8"/>
        <v>0</v>
      </c>
      <c r="J67" s="94">
        <f t="shared" si="8"/>
        <v>0</v>
      </c>
      <c r="K67" s="94">
        <f t="shared" si="8"/>
        <v>0</v>
      </c>
      <c r="L67" s="94">
        <f t="shared" si="8"/>
        <v>0</v>
      </c>
      <c r="M67" s="94">
        <f t="shared" si="8"/>
        <v>0</v>
      </c>
      <c r="N67" s="94">
        <f t="shared" si="8"/>
        <v>0</v>
      </c>
      <c r="O67" s="94">
        <f t="shared" si="8"/>
        <v>0</v>
      </c>
      <c r="P67" s="94">
        <f t="shared" si="8"/>
        <v>4000000</v>
      </c>
      <c r="Q67" s="19"/>
      <c r="R67" s="17"/>
    </row>
    <row r="68" spans="1:18" ht="14.4" thickBot="1" x14ac:dyDescent="0.35">
      <c r="C68" s="5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2"/>
      <c r="Q68" s="19"/>
      <c r="R68" s="3"/>
    </row>
    <row r="69" spans="1:18" s="10" customFormat="1" ht="16.2" thickBot="1" x14ac:dyDescent="0.35">
      <c r="A69" s="92"/>
      <c r="B69" s="229" t="s">
        <v>14</v>
      </c>
      <c r="C69" s="94">
        <f>C6+C18+C53+C63+C67</f>
        <v>17817664.519113906</v>
      </c>
      <c r="D69" s="94">
        <f>D67+D63+D53+D18+D6</f>
        <v>1218005.52414227</v>
      </c>
      <c r="E69" s="94">
        <f>E67+E63+E53+E18+E6</f>
        <v>2297545.2691422701</v>
      </c>
      <c r="F69" s="94">
        <f t="shared" ref="F69:O69" si="9">F67+F63+F53+F18+F6</f>
        <v>2268017.1041422701</v>
      </c>
      <c r="G69" s="94">
        <f t="shared" si="9"/>
        <v>2644252.1041422701</v>
      </c>
      <c r="H69" s="94">
        <f t="shared" si="9"/>
        <v>1060588.1041422701</v>
      </c>
      <c r="I69" s="94">
        <f t="shared" si="9"/>
        <v>1061585.1041422701</v>
      </c>
      <c r="J69" s="94">
        <f t="shared" si="9"/>
        <v>1146066.5065822701</v>
      </c>
      <c r="K69" s="94">
        <f t="shared" si="9"/>
        <v>1036726.1041422701</v>
      </c>
      <c r="L69" s="94">
        <f t="shared" si="9"/>
        <v>1066891.1041422701</v>
      </c>
      <c r="M69" s="94">
        <f t="shared" si="9"/>
        <v>1036586.1041422701</v>
      </c>
      <c r="N69" s="94">
        <f t="shared" si="9"/>
        <v>1067670.1041422701</v>
      </c>
      <c r="O69" s="94">
        <f t="shared" si="9"/>
        <v>1913731.3861089363</v>
      </c>
      <c r="P69" s="94">
        <f>P67+P63+P53+P18+P6</f>
        <v>17817664.519113906</v>
      </c>
      <c r="Q69" s="19"/>
      <c r="R69" s="17"/>
    </row>
    <row r="70" spans="1:18" ht="14.4" thickBot="1" x14ac:dyDescent="0.35"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2"/>
      <c r="Q70" s="20"/>
      <c r="R70" s="3"/>
    </row>
    <row r="71" spans="1:18" s="10" customFormat="1" ht="16.2" thickBot="1" x14ac:dyDescent="0.35">
      <c r="A71" s="271" t="s">
        <v>73</v>
      </c>
      <c r="B71" s="272"/>
      <c r="C71" s="223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5"/>
      <c r="P71" s="226"/>
      <c r="Q71" s="20"/>
      <c r="R71" s="17"/>
    </row>
    <row r="72" spans="1:18" s="4" customFormat="1" ht="13.8" x14ac:dyDescent="0.3">
      <c r="A72" s="48"/>
      <c r="B72" s="4" t="s">
        <v>63</v>
      </c>
      <c r="C72" s="49">
        <f>ING!E7</f>
        <v>17817664.519113906</v>
      </c>
      <c r="D72" s="234">
        <f>+D6+D18+D53+D63+D67</f>
        <v>1218005.52414227</v>
      </c>
      <c r="E72" s="234">
        <f t="shared" ref="E72:O72" si="10">+E6+E18+E53+E63+E67</f>
        <v>2297545.2691422701</v>
      </c>
      <c r="F72" s="234">
        <f t="shared" si="10"/>
        <v>2268017.1041422701</v>
      </c>
      <c r="G72" s="234">
        <f t="shared" si="10"/>
        <v>2644252.1041422701</v>
      </c>
      <c r="H72" s="234">
        <f t="shared" si="10"/>
        <v>1060588.1041422701</v>
      </c>
      <c r="I72" s="234">
        <f t="shared" si="10"/>
        <v>1061585.1041422701</v>
      </c>
      <c r="J72" s="234">
        <f t="shared" si="10"/>
        <v>1146066.5065822701</v>
      </c>
      <c r="K72" s="234">
        <f t="shared" si="10"/>
        <v>1036726.1041422701</v>
      </c>
      <c r="L72" s="234">
        <f t="shared" si="10"/>
        <v>1066891.1041422701</v>
      </c>
      <c r="M72" s="234">
        <f t="shared" si="10"/>
        <v>1036586.1041422701</v>
      </c>
      <c r="N72" s="234">
        <f t="shared" si="10"/>
        <v>1067670.1041422701</v>
      </c>
      <c r="O72" s="237">
        <f t="shared" si="10"/>
        <v>1913731.3861089363</v>
      </c>
      <c r="P72" s="239">
        <f>+P6+P18+P53+P63+P67</f>
        <v>17817664.519113906</v>
      </c>
      <c r="Q72" s="19"/>
      <c r="R72" s="7"/>
    </row>
    <row r="73" spans="1:18" s="4" customFormat="1" ht="13.8" x14ac:dyDescent="0.3">
      <c r="A73" s="48"/>
      <c r="B73" s="4" t="s">
        <v>65</v>
      </c>
      <c r="C73" s="49">
        <f>ING!E34</f>
        <v>292365</v>
      </c>
      <c r="D73" s="227">
        <v>17395</v>
      </c>
      <c r="E73" s="227">
        <v>29482</v>
      </c>
      <c r="F73" s="227">
        <v>30627</v>
      </c>
      <c r="G73" s="227">
        <v>33863</v>
      </c>
      <c r="H73" s="227">
        <v>30689</v>
      </c>
      <c r="I73" s="227">
        <v>26588</v>
      </c>
      <c r="J73" s="227">
        <v>17127</v>
      </c>
      <c r="K73" s="227">
        <v>29220</v>
      </c>
      <c r="L73" s="227">
        <v>31278</v>
      </c>
      <c r="M73" s="227">
        <v>18610</v>
      </c>
      <c r="N73" s="227">
        <v>24936</v>
      </c>
      <c r="O73" s="227">
        <v>2550</v>
      </c>
      <c r="P73" s="235">
        <f>SUM(D73:O73)</f>
        <v>292365</v>
      </c>
      <c r="Q73" s="19"/>
      <c r="R73" s="7"/>
    </row>
    <row r="74" spans="1:18" s="4" customFormat="1" ht="14.4" thickBot="1" x14ac:dyDescent="0.35">
      <c r="A74" s="48"/>
      <c r="B74" s="4" t="s">
        <v>70</v>
      </c>
      <c r="C74" s="49">
        <f>ING!E41</f>
        <v>50000</v>
      </c>
      <c r="D74" s="227">
        <f>0</f>
        <v>0</v>
      </c>
      <c r="E74" s="227">
        <v>50000</v>
      </c>
      <c r="F74" s="227">
        <f>0</f>
        <v>0</v>
      </c>
      <c r="G74" s="227">
        <f>0</f>
        <v>0</v>
      </c>
      <c r="H74" s="227">
        <f>0</f>
        <v>0</v>
      </c>
      <c r="I74" s="227">
        <f>0</f>
        <v>0</v>
      </c>
      <c r="J74" s="227">
        <f>0</f>
        <v>0</v>
      </c>
      <c r="K74" s="227">
        <f>0</f>
        <v>0</v>
      </c>
      <c r="L74" s="227">
        <f>0</f>
        <v>0</v>
      </c>
      <c r="M74" s="227">
        <v>0</v>
      </c>
      <c r="N74" s="227">
        <f>0</f>
        <v>0</v>
      </c>
      <c r="O74" s="227">
        <f>0</f>
        <v>0</v>
      </c>
      <c r="P74" s="228">
        <f>SUM(D74:O74)</f>
        <v>50000</v>
      </c>
      <c r="Q74" s="19"/>
      <c r="R74" s="7"/>
    </row>
    <row r="75" spans="1:18" s="10" customFormat="1" ht="16.2" thickBot="1" x14ac:dyDescent="0.35">
      <c r="A75" s="92"/>
      <c r="B75" s="229" t="s">
        <v>0</v>
      </c>
      <c r="C75" s="94">
        <f>SUM(C72:C74)</f>
        <v>18160029.519113906</v>
      </c>
      <c r="D75" s="94">
        <f>SUM(D72:D74)</f>
        <v>1235400.52414227</v>
      </c>
      <c r="E75" s="94">
        <f t="shared" ref="E75:O75" si="11">SUM(E72:E74)</f>
        <v>2377027.2691422701</v>
      </c>
      <c r="F75" s="94">
        <f t="shared" si="11"/>
        <v>2298644.1041422701</v>
      </c>
      <c r="G75" s="94">
        <f t="shared" si="11"/>
        <v>2678115.1041422701</v>
      </c>
      <c r="H75" s="94">
        <f t="shared" si="11"/>
        <v>1091277.1041422701</v>
      </c>
      <c r="I75" s="94">
        <f t="shared" si="11"/>
        <v>1088173.1041422701</v>
      </c>
      <c r="J75" s="94">
        <f t="shared" si="11"/>
        <v>1163193.5065822701</v>
      </c>
      <c r="K75" s="94">
        <f t="shared" si="11"/>
        <v>1065946.1041422701</v>
      </c>
      <c r="L75" s="94">
        <f t="shared" si="11"/>
        <v>1098169.1041422701</v>
      </c>
      <c r="M75" s="94">
        <f t="shared" si="11"/>
        <v>1055196.1041422701</v>
      </c>
      <c r="N75" s="94">
        <f t="shared" si="11"/>
        <v>1092606.1041422701</v>
      </c>
      <c r="O75" s="94">
        <f t="shared" si="11"/>
        <v>1916281.3861089363</v>
      </c>
      <c r="P75" s="94">
        <f>SUM(P72:P74)</f>
        <v>18160029.519113906</v>
      </c>
      <c r="Q75" s="19"/>
      <c r="R75" s="17"/>
    </row>
    <row r="76" spans="1:18" ht="13.8" thickBot="1" x14ac:dyDescent="0.3"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2"/>
      <c r="Q76" s="3"/>
      <c r="R76" s="3"/>
    </row>
    <row r="77" spans="1:18" s="10" customFormat="1" ht="16.2" thickBot="1" x14ac:dyDescent="0.35">
      <c r="A77" s="92"/>
      <c r="B77" s="240" t="s">
        <v>74</v>
      </c>
      <c r="C77" s="64"/>
      <c r="D77" s="94">
        <f>D75-D69</f>
        <v>17395</v>
      </c>
      <c r="E77" s="94">
        <f t="shared" ref="E77:O77" si="12">D77+E75-E69</f>
        <v>96877</v>
      </c>
      <c r="F77" s="94">
        <f t="shared" si="12"/>
        <v>127504</v>
      </c>
      <c r="G77" s="94">
        <f t="shared" si="12"/>
        <v>161367</v>
      </c>
      <c r="H77" s="94">
        <f t="shared" si="12"/>
        <v>192056</v>
      </c>
      <c r="I77" s="94">
        <f t="shared" si="12"/>
        <v>218644</v>
      </c>
      <c r="J77" s="94">
        <f t="shared" si="12"/>
        <v>235771</v>
      </c>
      <c r="K77" s="94">
        <f t="shared" si="12"/>
        <v>264991</v>
      </c>
      <c r="L77" s="94">
        <f t="shared" si="12"/>
        <v>296269</v>
      </c>
      <c r="M77" s="94">
        <f t="shared" si="12"/>
        <v>314879</v>
      </c>
      <c r="N77" s="94">
        <f t="shared" si="12"/>
        <v>339815</v>
      </c>
      <c r="O77" s="94">
        <f t="shared" si="12"/>
        <v>342365</v>
      </c>
      <c r="P77" s="94">
        <f>O77</f>
        <v>342365</v>
      </c>
      <c r="Q77" s="17"/>
      <c r="R77" s="17"/>
    </row>
    <row r="78" spans="1:18" x14ac:dyDescent="0.25"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2"/>
      <c r="Q78" s="3"/>
      <c r="R78" s="3"/>
    </row>
    <row r="79" spans="1:18" x14ac:dyDescent="0.25"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2"/>
      <c r="Q79" s="3"/>
      <c r="R79" s="3"/>
    </row>
    <row r="80" spans="1:18" x14ac:dyDescent="0.25"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2"/>
      <c r="Q80" s="3"/>
      <c r="R80" s="3"/>
    </row>
    <row r="81" spans="4:18" x14ac:dyDescent="0.25"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232"/>
      <c r="Q81" s="3"/>
      <c r="R81" s="3"/>
    </row>
    <row r="82" spans="4:18" x14ac:dyDescent="0.25"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232"/>
      <c r="Q82" s="3"/>
      <c r="R82" s="3"/>
    </row>
    <row r="83" spans="4:18" x14ac:dyDescent="0.25"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232"/>
      <c r="Q83" s="3"/>
      <c r="R83" s="3"/>
    </row>
    <row r="84" spans="4:18" x14ac:dyDescent="0.25"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232"/>
      <c r="Q84" s="3"/>
      <c r="R84" s="3"/>
    </row>
    <row r="85" spans="4:18" x14ac:dyDescent="0.25"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232"/>
      <c r="Q85" s="3"/>
      <c r="R85" s="3"/>
    </row>
    <row r="86" spans="4:18" x14ac:dyDescent="0.25"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232"/>
      <c r="Q86" s="3"/>
      <c r="R86" s="3"/>
    </row>
    <row r="87" spans="4:18" x14ac:dyDescent="0.25"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232"/>
      <c r="Q87" s="3"/>
      <c r="R87" s="3"/>
    </row>
    <row r="88" spans="4:18" x14ac:dyDescent="0.25"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232"/>
      <c r="Q88" s="3"/>
      <c r="R88" s="3"/>
    </row>
    <row r="89" spans="4:18" x14ac:dyDescent="0.25"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232"/>
      <c r="Q89" s="3"/>
      <c r="R89" s="3"/>
    </row>
    <row r="90" spans="4:18" x14ac:dyDescent="0.25"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232"/>
      <c r="Q90" s="3"/>
      <c r="R90" s="3"/>
    </row>
    <row r="91" spans="4:18" x14ac:dyDescent="0.25"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232"/>
      <c r="Q91" s="3"/>
      <c r="R91" s="3"/>
    </row>
    <row r="92" spans="4:18" x14ac:dyDescent="0.25"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232"/>
      <c r="Q92" s="3"/>
      <c r="R92" s="3"/>
    </row>
    <row r="93" spans="4:18" x14ac:dyDescent="0.25"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232"/>
      <c r="Q93" s="3"/>
      <c r="R93" s="3"/>
    </row>
    <row r="94" spans="4:18" x14ac:dyDescent="0.25"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232"/>
      <c r="Q94" s="3"/>
      <c r="R94" s="3"/>
    </row>
    <row r="95" spans="4:18" x14ac:dyDescent="0.25"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232"/>
      <c r="Q95" s="3"/>
      <c r="R95" s="3"/>
    </row>
    <row r="96" spans="4:18" x14ac:dyDescent="0.25"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232"/>
      <c r="Q96" s="3"/>
      <c r="R96" s="3"/>
    </row>
    <row r="97" spans="4:18" x14ac:dyDescent="0.25"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232"/>
      <c r="Q97" s="3"/>
      <c r="R97" s="3"/>
    </row>
    <row r="98" spans="4:18" x14ac:dyDescent="0.25"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232"/>
      <c r="Q98" s="3"/>
      <c r="R98" s="3"/>
    </row>
    <row r="99" spans="4:18" x14ac:dyDescent="0.25"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232"/>
      <c r="Q99" s="3"/>
      <c r="R99" s="3"/>
    </row>
    <row r="100" spans="4:18" x14ac:dyDescent="0.25"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232"/>
      <c r="Q100" s="3"/>
      <c r="R100" s="3"/>
    </row>
    <row r="101" spans="4:18" x14ac:dyDescent="0.25"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232"/>
      <c r="Q101" s="3"/>
      <c r="R101" s="3"/>
    </row>
    <row r="102" spans="4:18" x14ac:dyDescent="0.25"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232"/>
      <c r="Q102" s="3"/>
      <c r="R102" s="3"/>
    </row>
    <row r="103" spans="4:18" x14ac:dyDescent="0.25"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232"/>
      <c r="Q103" s="3"/>
      <c r="R103" s="3"/>
    </row>
    <row r="104" spans="4:18" x14ac:dyDescent="0.25"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232"/>
      <c r="Q104" s="3"/>
      <c r="R104" s="3"/>
    </row>
    <row r="105" spans="4:18" x14ac:dyDescent="0.25"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232"/>
      <c r="Q105" s="3"/>
      <c r="R105" s="3"/>
    </row>
    <row r="106" spans="4:18" x14ac:dyDescent="0.25"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232"/>
      <c r="Q106" s="3"/>
      <c r="R106" s="3"/>
    </row>
    <row r="107" spans="4:18" x14ac:dyDescent="0.25"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232"/>
      <c r="Q107" s="3"/>
      <c r="R107" s="3"/>
    </row>
    <row r="108" spans="4:18" x14ac:dyDescent="0.25"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232"/>
      <c r="Q108" s="3"/>
      <c r="R108" s="3"/>
    </row>
    <row r="109" spans="4:18" x14ac:dyDescent="0.25"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2"/>
      <c r="P109" s="232"/>
      <c r="Q109" s="3"/>
      <c r="R109" s="3"/>
    </row>
    <row r="110" spans="4:18" x14ac:dyDescent="0.25"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232"/>
      <c r="Q110" s="3"/>
      <c r="R110" s="3"/>
    </row>
    <row r="111" spans="4:18" x14ac:dyDescent="0.25"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232"/>
      <c r="Q111" s="3"/>
      <c r="R111" s="3"/>
    </row>
    <row r="112" spans="4:18" x14ac:dyDescent="0.25">
      <c r="D112" s="162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232"/>
      <c r="Q112" s="3"/>
      <c r="R112" s="3"/>
    </row>
    <row r="113" spans="4:18" x14ac:dyDescent="0.25">
      <c r="D113" s="162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232"/>
      <c r="Q113" s="3"/>
      <c r="R113" s="3"/>
    </row>
    <row r="114" spans="4:18" x14ac:dyDescent="0.25">
      <c r="D114" s="162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232"/>
      <c r="Q114" s="3"/>
      <c r="R114" s="3"/>
    </row>
    <row r="115" spans="4:18" x14ac:dyDescent="0.25">
      <c r="D115" s="162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232"/>
      <c r="Q115" s="3"/>
      <c r="R115" s="3"/>
    </row>
    <row r="116" spans="4:18" x14ac:dyDescent="0.25"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232"/>
      <c r="Q116" s="3"/>
      <c r="R116" s="3"/>
    </row>
    <row r="117" spans="4:18" x14ac:dyDescent="0.25">
      <c r="D117" s="162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232"/>
      <c r="Q117" s="3"/>
      <c r="R117" s="3"/>
    </row>
    <row r="118" spans="4:18" x14ac:dyDescent="0.25"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232"/>
      <c r="Q118" s="3"/>
      <c r="R118" s="3"/>
    </row>
    <row r="119" spans="4:18" x14ac:dyDescent="0.25"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232"/>
      <c r="Q119" s="3"/>
      <c r="R119" s="3"/>
    </row>
    <row r="120" spans="4:18" x14ac:dyDescent="0.25"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232"/>
      <c r="Q120" s="3"/>
      <c r="R120" s="3"/>
    </row>
    <row r="121" spans="4:18" x14ac:dyDescent="0.25"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232"/>
      <c r="Q121" s="3"/>
      <c r="R121" s="3"/>
    </row>
    <row r="122" spans="4:18" x14ac:dyDescent="0.25"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232"/>
      <c r="Q122" s="3"/>
      <c r="R122" s="3"/>
    </row>
    <row r="123" spans="4:18" x14ac:dyDescent="0.25"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232"/>
      <c r="Q123" s="3"/>
      <c r="R123" s="3"/>
    </row>
    <row r="124" spans="4:18" x14ac:dyDescent="0.25"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232"/>
      <c r="Q124" s="3"/>
      <c r="R124" s="3"/>
    </row>
    <row r="125" spans="4:18" x14ac:dyDescent="0.25"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232"/>
      <c r="Q125" s="3"/>
      <c r="R125" s="3"/>
    </row>
    <row r="126" spans="4:18" x14ac:dyDescent="0.25"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232"/>
      <c r="Q126" s="3"/>
      <c r="R126" s="3"/>
    </row>
    <row r="127" spans="4:18" x14ac:dyDescent="0.25"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232"/>
      <c r="Q127" s="3"/>
      <c r="R127" s="3"/>
    </row>
    <row r="128" spans="4:18" x14ac:dyDescent="0.25"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232"/>
      <c r="Q128" s="3"/>
      <c r="R128" s="3"/>
    </row>
    <row r="129" spans="4:18" x14ac:dyDescent="0.25"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232"/>
      <c r="Q129" s="3"/>
      <c r="R129" s="3"/>
    </row>
    <row r="130" spans="4:18" x14ac:dyDescent="0.25"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232"/>
      <c r="Q130" s="3"/>
      <c r="R130" s="3"/>
    </row>
    <row r="131" spans="4:18" x14ac:dyDescent="0.25"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232"/>
      <c r="Q131" s="3"/>
      <c r="R131" s="3"/>
    </row>
    <row r="132" spans="4:18" x14ac:dyDescent="0.25"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232"/>
      <c r="Q132" s="3"/>
      <c r="R132" s="3"/>
    </row>
    <row r="133" spans="4:18" x14ac:dyDescent="0.25"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232"/>
      <c r="Q133" s="3"/>
      <c r="R133" s="3"/>
    </row>
    <row r="134" spans="4:18" x14ac:dyDescent="0.25"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232"/>
      <c r="Q134" s="3"/>
      <c r="R134" s="3"/>
    </row>
    <row r="135" spans="4:18" x14ac:dyDescent="0.25"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232"/>
      <c r="Q135" s="3"/>
      <c r="R135" s="3"/>
    </row>
    <row r="136" spans="4:18" x14ac:dyDescent="0.25"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232"/>
      <c r="Q136" s="3"/>
      <c r="R136" s="3"/>
    </row>
    <row r="137" spans="4:18" x14ac:dyDescent="0.25"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232"/>
      <c r="Q137" s="3"/>
      <c r="R137" s="3"/>
    </row>
    <row r="138" spans="4:18" x14ac:dyDescent="0.25"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232"/>
      <c r="Q138" s="3"/>
      <c r="R138" s="3"/>
    </row>
    <row r="139" spans="4:18" x14ac:dyDescent="0.25"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232"/>
      <c r="Q139" s="3"/>
      <c r="R139" s="3"/>
    </row>
    <row r="140" spans="4:18" x14ac:dyDescent="0.25"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232"/>
      <c r="Q140" s="3"/>
      <c r="R140" s="3"/>
    </row>
    <row r="141" spans="4:18" x14ac:dyDescent="0.25"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232"/>
      <c r="Q141" s="3"/>
      <c r="R141" s="3"/>
    </row>
    <row r="142" spans="4:18" x14ac:dyDescent="0.25"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232"/>
      <c r="Q142" s="3"/>
      <c r="R142" s="3"/>
    </row>
    <row r="143" spans="4:18" x14ac:dyDescent="0.25"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232"/>
      <c r="Q143" s="3"/>
      <c r="R143" s="3"/>
    </row>
    <row r="144" spans="4:18" x14ac:dyDescent="0.25"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232"/>
      <c r="Q144" s="3"/>
      <c r="R144" s="3"/>
    </row>
    <row r="145" spans="4:18" x14ac:dyDescent="0.25"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232"/>
      <c r="Q145" s="3"/>
      <c r="R145" s="3"/>
    </row>
    <row r="146" spans="4:18" x14ac:dyDescent="0.25"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232"/>
      <c r="Q146" s="3"/>
      <c r="R146" s="3"/>
    </row>
    <row r="147" spans="4:18" x14ac:dyDescent="0.25"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232"/>
      <c r="Q147" s="3"/>
      <c r="R147" s="3"/>
    </row>
    <row r="148" spans="4:18" x14ac:dyDescent="0.25"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232"/>
      <c r="Q148" s="3"/>
      <c r="R148" s="3"/>
    </row>
    <row r="149" spans="4:18" x14ac:dyDescent="0.25"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232"/>
      <c r="Q149" s="3"/>
      <c r="R149" s="3"/>
    </row>
    <row r="150" spans="4:18" x14ac:dyDescent="0.25"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232"/>
      <c r="Q150" s="3"/>
      <c r="R150" s="3"/>
    </row>
    <row r="151" spans="4:18" x14ac:dyDescent="0.25"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232"/>
      <c r="Q151" s="3"/>
      <c r="R151" s="3"/>
    </row>
    <row r="152" spans="4:18" x14ac:dyDescent="0.25"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232"/>
      <c r="Q152" s="3"/>
      <c r="R152" s="3"/>
    </row>
    <row r="153" spans="4:18" x14ac:dyDescent="0.25"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232"/>
      <c r="Q153" s="3"/>
      <c r="R153" s="3"/>
    </row>
    <row r="154" spans="4:18" x14ac:dyDescent="0.25"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232"/>
      <c r="Q154" s="3"/>
      <c r="R154" s="3"/>
    </row>
    <row r="155" spans="4:18" x14ac:dyDescent="0.25"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232"/>
      <c r="Q155" s="3"/>
      <c r="R155" s="3"/>
    </row>
    <row r="156" spans="4:18" x14ac:dyDescent="0.25"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232"/>
      <c r="Q156" s="3"/>
      <c r="R156" s="3"/>
    </row>
    <row r="157" spans="4:18" x14ac:dyDescent="0.25"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232"/>
      <c r="Q157" s="3"/>
      <c r="R157" s="3"/>
    </row>
    <row r="158" spans="4:18" x14ac:dyDescent="0.25"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232"/>
      <c r="Q158" s="3"/>
      <c r="R158" s="3"/>
    </row>
    <row r="159" spans="4:18" x14ac:dyDescent="0.25"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232"/>
      <c r="Q159" s="3"/>
      <c r="R159" s="3"/>
    </row>
    <row r="160" spans="4:18" x14ac:dyDescent="0.25"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232"/>
      <c r="Q160" s="3"/>
      <c r="R160" s="3"/>
    </row>
    <row r="161" spans="4:18" x14ac:dyDescent="0.25"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232"/>
      <c r="Q161" s="3"/>
      <c r="R161" s="3"/>
    </row>
    <row r="162" spans="4:18" x14ac:dyDescent="0.25"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232"/>
      <c r="Q162" s="3"/>
      <c r="R162" s="3"/>
    </row>
    <row r="163" spans="4:18" x14ac:dyDescent="0.25"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232"/>
      <c r="Q163" s="3"/>
      <c r="R163" s="3"/>
    </row>
    <row r="164" spans="4:18" x14ac:dyDescent="0.25"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232"/>
      <c r="Q164" s="3"/>
      <c r="R164" s="3"/>
    </row>
    <row r="165" spans="4:18" x14ac:dyDescent="0.25"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232"/>
      <c r="Q165" s="3"/>
      <c r="R165" s="3"/>
    </row>
    <row r="166" spans="4:18" x14ac:dyDescent="0.25"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232"/>
      <c r="Q166" s="3"/>
      <c r="R166" s="3"/>
    </row>
    <row r="167" spans="4:18" x14ac:dyDescent="0.25"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232"/>
      <c r="Q167" s="3"/>
      <c r="R167" s="3"/>
    </row>
    <row r="168" spans="4:18" x14ac:dyDescent="0.25"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232"/>
      <c r="Q168" s="3"/>
      <c r="R168" s="3"/>
    </row>
    <row r="169" spans="4:18" x14ac:dyDescent="0.25"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232"/>
      <c r="Q169" s="3"/>
      <c r="R169" s="3"/>
    </row>
    <row r="170" spans="4:18" x14ac:dyDescent="0.25"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232"/>
      <c r="Q170" s="3"/>
      <c r="R170" s="3"/>
    </row>
    <row r="171" spans="4:18" x14ac:dyDescent="0.25"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232"/>
      <c r="Q171" s="3"/>
      <c r="R171" s="3"/>
    </row>
    <row r="172" spans="4:18" x14ac:dyDescent="0.25"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232"/>
      <c r="Q172" s="3"/>
      <c r="R172" s="3"/>
    </row>
    <row r="173" spans="4:18" x14ac:dyDescent="0.25"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232"/>
      <c r="Q173" s="3"/>
      <c r="R173" s="3"/>
    </row>
  </sheetData>
  <mergeCells count="8">
    <mergeCell ref="A55:B55"/>
    <mergeCell ref="A65:B65"/>
    <mergeCell ref="A71:B71"/>
    <mergeCell ref="B1:P1"/>
    <mergeCell ref="B2:C2"/>
    <mergeCell ref="A4:B4"/>
    <mergeCell ref="A8:B8"/>
    <mergeCell ref="A20:B20"/>
  </mergeCells>
  <phoneticPr fontId="0" type="noConversion"/>
  <printOptions horizontalCentered="1"/>
  <pageMargins left="0.78740157480314965" right="0.78740157480314965" top="0.86614173228346458" bottom="0.86614173228346458" header="0.51181102362204722" footer="0"/>
  <pageSetup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RESUMEN</vt:lpstr>
      <vt:lpstr>ING</vt:lpstr>
      <vt:lpstr>EGR</vt:lpstr>
      <vt:lpstr>1000</vt:lpstr>
      <vt:lpstr>2000</vt:lpstr>
      <vt:lpstr>3000</vt:lpstr>
      <vt:lpstr>5000</vt:lpstr>
      <vt:lpstr>6000</vt:lpstr>
      <vt:lpstr>PROG</vt:lpstr>
      <vt:lpstr>'1000'!Área_de_impresión</vt:lpstr>
      <vt:lpstr>'2000'!Área_de_impresión</vt:lpstr>
      <vt:lpstr>'3000'!Área_de_impresión</vt:lpstr>
      <vt:lpstr>'5000'!Área_de_impresión</vt:lpstr>
      <vt:lpstr>'6000'!Área_de_impresión</vt:lpstr>
      <vt:lpstr>EGR!Área_de_impresión</vt:lpstr>
      <vt:lpstr>ING!Área_de_impresión</vt:lpstr>
      <vt:lpstr>PROG!Área_de_impresión</vt:lpstr>
      <vt:lpstr>RESUMEN!Área_de_impresión</vt:lpstr>
      <vt:lpstr>'3000'!Títulos_a_imprimir</vt:lpstr>
    </vt:vector>
  </TitlesOfParts>
  <Company>duyop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villegas k</dc:creator>
  <cp:lastModifiedBy>usuario</cp:lastModifiedBy>
  <cp:lastPrinted>2022-12-02T17:08:03Z</cp:lastPrinted>
  <dcterms:created xsi:type="dcterms:W3CDTF">2001-05-03T17:03:24Z</dcterms:created>
  <dcterms:modified xsi:type="dcterms:W3CDTF">2023-10-11T17:15:33Z</dcterms:modified>
</cp:coreProperties>
</file>